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jacksonj/Desktop/"/>
    </mc:Choice>
  </mc:AlternateContent>
  <xr:revisionPtr revIDLastSave="0" documentId="8_{526E42C6-A609-1949-8359-E5E4EDE0BA4C}" xr6:coauthVersionLast="46" xr6:coauthVersionMax="46" xr10:uidLastSave="{00000000-0000-0000-0000-000000000000}"/>
  <bookViews>
    <workbookView xWindow="0" yWindow="500" windowWidth="26600" windowHeight="18700" xr2:uid="{00000000-000D-0000-FFFF-FFFF00000000}"/>
  </bookViews>
  <sheets>
    <sheet name="Trending Schedule Q1'22" sheetId="1" r:id="rId1"/>
  </sheets>
  <externalReferences>
    <externalReference r:id="rId2"/>
    <externalReference r:id="rId3"/>
    <externalReference r:id="rId4"/>
    <externalReference r:id="rId5"/>
    <externalReference r:id="rId6"/>
    <externalReference r:id="rId7"/>
    <externalReference r:id="rId8"/>
  </externalReferences>
  <definedNames>
    <definedName name="_bdm.41e2265f507f4525b673b6faa20adcab.edm" hidden="1">#REF!</definedName>
    <definedName name="_bdm.eab256cc1a15443e8690695674a8946a.edm" hidden="1">#REF!</definedName>
    <definedName name="_delete_" hidden="1">{#N/A,#N/A,FALSE,"Inputs";#N/A,#N/A,FALSE,"Mkt";#N/A,#N/A,FALSE,"Rev";#N/A,#N/A,FALSE,"Costs"}</definedName>
    <definedName name="_xlcn.WorksheetConnection_SalesTaxPayableMAR17.xlsxTable11" hidden="1">#REF!</definedName>
    <definedName name="AccessDatabase" hidden="1">"C:\Tools\NewHeadCount.mdb"</definedName>
    <definedName name="budgetimeline1">[1]CashPlan!#REF!</definedName>
    <definedName name="budgettimeline">[2]CashPlan!#REF!</definedName>
    <definedName name="Case">[3]Cover!$E$16</definedName>
    <definedName name="Circ">[3]Cover!$E$18</definedName>
    <definedName name="Company_Name">'[4]Monthly Assumptions'!$A$11</definedName>
    <definedName name="Confi">[3]Cover!$I$3</definedName>
    <definedName name="Cover">[3]Cover!$B$12</definedName>
    <definedName name="Data">[3]FactSet.Comps!$1:$1048576</definedName>
    <definedName name="Date">'[5]IS by Dept no var.'!$A$5</definedName>
    <definedName name="David">'[4]Monthly Assumptions'!#REF!</definedName>
    <definedName name="Dec_11">[2]Budget!#REF!</definedName>
    <definedName name="desktop_computer_costs">'[6]Mthly Assumes'!$A$83:$IV$83</definedName>
    <definedName name="fds" hidden="1">{"'Directory'!$A$72:$E$91"}</definedName>
    <definedName name="HEADERS">[3]FactSet.Comps!$C:$C</definedName>
    <definedName name="Holly" hidden="1">{#N/A,#N/A,FALSE,"Inputs";#N/A,#N/A,FALSE,"Mkt";#N/A,#N/A,FALSE,"Rev";#N/A,#N/A,FALSE,"Costs"}</definedName>
    <definedName name="HTML_CodePage" hidden="1">1252</definedName>
    <definedName name="HTML_Control" hidden="1">{"'Vendor Info'!$A$3:$G$56"}</definedName>
    <definedName name="HTML_Description" hidden="1">""</definedName>
    <definedName name="HTML_Email" hidden="1">""</definedName>
    <definedName name="HTML_Header" hidden="1">"Vendor Info"</definedName>
    <definedName name="HTML_LastUpdate" hidden="1">"1/13/99"</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"N:\Groups\RETAIL\Retail\Dept Information\MyHTML.htm"</definedName>
    <definedName name="HTML_Title" hidden="1">"Store Information"</definedName>
    <definedName name="in_service_date">#REF!</definedName>
    <definedName name="Income_Statement">'[5]IS by Dept no var.'!$A$4</definedName>
    <definedName name="Jamse">#REF!</definedName>
    <definedName name="k" hidden="1">{"'Vendor Info'!$A$3:$G$56"}</definedName>
    <definedName name="m">'[4]Monthly Assumptions'!#REF!</definedName>
    <definedName name="M_38">'[4]Monthly Assumptions'!#REF!</definedName>
    <definedName name="MacrsTab">#REF!</definedName>
    <definedName name="MacrsTabb">#REF!</definedName>
    <definedName name="MDate">[3]Cover!$E$15</definedName>
    <definedName name="MODEL">'[5]Mthly Assumes'!$G$5</definedName>
    <definedName name="Month_1">'[4]Monthly Assumptions'!$M$10</definedName>
    <definedName name="Month_10">'[4]Monthly Assumptions'!$V$10</definedName>
    <definedName name="Month_11">'[4]Monthly Assumptions'!$W$10</definedName>
    <definedName name="Month_12">'[4]Monthly Assumptions'!$X$10</definedName>
    <definedName name="Month_13">'[4]Monthly Assumptions'!$Z$10</definedName>
    <definedName name="Month_14">'[4]Monthly Assumptions'!$AA$10</definedName>
    <definedName name="Month_15">'[4]Monthly Assumptions'!$AB$10</definedName>
    <definedName name="Month_16">'[4]Monthly Assumptions'!$AC$10</definedName>
    <definedName name="Month_17">'[4]Monthly Assumptions'!$AD$10</definedName>
    <definedName name="Month_18">'[4]Monthly Assumptions'!$AE$10</definedName>
    <definedName name="Month_19">'[4]Monthly Assumptions'!$AF$10</definedName>
    <definedName name="Month_2">'[4]Monthly Assumptions'!$N$10</definedName>
    <definedName name="Month_20">'[4]Monthly Assumptions'!$AG$10</definedName>
    <definedName name="Month_21">'[4]Monthly Assumptions'!$AH$10</definedName>
    <definedName name="Month_22">'[4]Monthly Assumptions'!$AI$10</definedName>
    <definedName name="Month_23">'[4]Monthly Assumptions'!$AJ$10</definedName>
    <definedName name="Month_24">'[4]Monthly Assumptions'!$AK$10</definedName>
    <definedName name="Month_25">'[4]Monthly Assumptions'!$AM$10</definedName>
    <definedName name="Month_26">'[4]Monthly Assumptions'!$AN$10</definedName>
    <definedName name="Month_27">'[4]Monthly Assumptions'!$AO$10</definedName>
    <definedName name="Month_28">'[4]Monthly Assumptions'!$AP$10</definedName>
    <definedName name="Month_29">'[4]Monthly Assumptions'!$AQ$10</definedName>
    <definedName name="Month_3">'[4]Monthly Assumptions'!$O$10</definedName>
    <definedName name="Month_30">'[4]Monthly Assumptions'!$AR$10</definedName>
    <definedName name="Month_31">'[4]Monthly Assumptions'!$AS$10</definedName>
    <definedName name="Month_32">'[4]Monthly Assumptions'!$AT$10</definedName>
    <definedName name="Month_33">'[4]Monthly Assumptions'!$AU$10</definedName>
    <definedName name="Month_34">'[4]Monthly Assumptions'!$AV$10</definedName>
    <definedName name="Month_35">'[4]Monthly Assumptions'!$AW$10</definedName>
    <definedName name="Month_36">'[4]Monthly Assumptions'!$AX$10</definedName>
    <definedName name="Month_37">'[4]Monthly Assumptions'!#REF!</definedName>
    <definedName name="Month_38">'[4]Monthly Assumptions'!#REF!</definedName>
    <definedName name="Month_39">'[4]Monthly Assumptions'!#REF!</definedName>
    <definedName name="Month_4">'[4]Monthly Assumptions'!$P$10</definedName>
    <definedName name="Month_40">'[4]Monthly Assumptions'!#REF!</definedName>
    <definedName name="Month_41">'[4]Monthly Assumptions'!#REF!</definedName>
    <definedName name="Month_42">'[4]Monthly Assumptions'!#REF!</definedName>
    <definedName name="Month_43">'[4]Monthly Assumptions'!#REF!</definedName>
    <definedName name="Month_44">'[4]Monthly Assumptions'!#REF!</definedName>
    <definedName name="Month_45">'[4]Monthly Assumptions'!#REF!</definedName>
    <definedName name="Month_46">'[4]Monthly Assumptions'!#REF!</definedName>
    <definedName name="Month_47">'[4]Monthly Assumptions'!#REF!</definedName>
    <definedName name="Month_48">'[4]Monthly Assumptions'!#REF!</definedName>
    <definedName name="Month_49">'[4]Monthly Assumptions'!#REF!</definedName>
    <definedName name="Month_5">'[4]Monthly Assumptions'!$Q$10</definedName>
    <definedName name="Month_50">'[4]Monthly Assumptions'!#REF!</definedName>
    <definedName name="Month_51">'[4]Monthly Assumptions'!#REF!</definedName>
    <definedName name="Month_52">'[4]Monthly Assumptions'!#REF!</definedName>
    <definedName name="Month_53">'[4]Monthly Assumptions'!#REF!</definedName>
    <definedName name="Month_54">'[4]Monthly Assumptions'!#REF!</definedName>
    <definedName name="Month_55">'[4]Monthly Assumptions'!#REF!</definedName>
    <definedName name="Month_56">'[4]Monthly Assumptions'!#REF!</definedName>
    <definedName name="Month_57">'[4]Monthly Assumptions'!#REF!</definedName>
    <definedName name="Month_58">'[4]Monthly Assumptions'!#REF!</definedName>
    <definedName name="Month_59">'[4]Monthly Assumptions'!#REF!</definedName>
    <definedName name="Month_6">'[4]Monthly Assumptions'!$R$10</definedName>
    <definedName name="Month_60">'[4]Monthly Assumptions'!#REF!</definedName>
    <definedName name="Month_7">'[4]Monthly Assumptions'!$S$10</definedName>
    <definedName name="Month_8">'[4]Monthly Assumptions'!$T$10</definedName>
    <definedName name="Month_9">'[4]Monthly Assumptions'!$U$10</definedName>
    <definedName name="office_desk_setup_per_hire">'[6]Mthly Assumes'!$A$84:$IV$84</definedName>
    <definedName name="_xlnm.Print_Area" localSheetId="0">'Trending Schedule Q1''22'!$A$1:$S$1635</definedName>
    <definedName name="reportperiod">#REF!</definedName>
    <definedName name="shareholderinfo">'[7]Shareholder Info'!$A$2:$A$40</definedName>
    <definedName name="software_per_hire">'[6]Mthly Assumes'!$A$85:$IV$85</definedName>
    <definedName name="t">'[4]Monthly Assumptions'!#REF!</definedName>
    <definedName name="Tom" hidden="1">{"'Vendor Info'!$A$3:$G$56"}</definedName>
    <definedName name="Tua" hidden="1">{"'Vendor Info'!$A$3:$G$56"}</definedName>
    <definedName name="v" hidden="1">{#N/A,#N/A,FALSE,"Inputs";#N/A,#N/A,FALSE,"Mkt";#N/A,#N/A,FALSE,"Rev";#N/A,#N/A,FALSE,"Costs"}</definedName>
    <definedName name="VDate">[3]Cover!$E$17</definedName>
    <definedName name="wrn.Inputs." hidden="1">{#N/A,#N/A,FALSE,"Inputs";#N/A,#N/A,FALSE,"Mkt";#N/A,#N/A,FALSE,"Rev";#N/A,#N/A,FALSE,"Costs"}</definedName>
    <definedName name="Year_1">'[4]Monthly Assumptions'!$B$26</definedName>
    <definedName name="Year_2">'[4]Monthly Assumptions'!$B$27</definedName>
    <definedName name="Year_3">'[4]Monthly Assumptions'!$B$28</definedName>
    <definedName name="Year_4">'[4]Monthly Assumptions'!$B$29</definedName>
    <definedName name="Year_5">'[4]Monthly Assumptions'!$B$30</definedName>
    <definedName name="Year_6">'[4]Monthly Assumptions'!$B$31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7" i="1" l="1"/>
  <c r="H6" i="1"/>
  <c r="G24" i="1"/>
  <c r="I24" i="1"/>
  <c r="N24" i="1"/>
  <c r="O24" i="1"/>
  <c r="P24" i="1"/>
  <c r="Q24" i="1"/>
  <c r="J24" i="1"/>
  <c r="K24" i="1"/>
  <c r="L24" i="1"/>
  <c r="H24" i="1"/>
  <c r="N108" i="1"/>
  <c r="O108" i="1" l="1"/>
  <c r="P108" i="1" l="1"/>
  <c r="D108" i="1" l="1"/>
  <c r="E108" i="1"/>
  <c r="F108" i="1"/>
  <c r="G108" i="1"/>
  <c r="H107" i="1"/>
  <c r="I108" i="1"/>
  <c r="J108" i="1" l="1"/>
  <c r="K108" i="1" l="1"/>
  <c r="L108" i="1" l="1"/>
  <c r="M107" i="1"/>
  <c r="H108" i="1" l="1"/>
  <c r="S228" i="1" l="1"/>
  <c r="S218" i="1"/>
  <c r="S204" i="1"/>
  <c r="S203" i="1"/>
  <c r="S198" i="1"/>
  <c r="S201" i="1" s="1"/>
  <c r="S202" i="1" s="1"/>
  <c r="S191" i="1"/>
  <c r="S190" i="1"/>
  <c r="S185" i="1"/>
  <c r="S188" i="1" s="1"/>
  <c r="S189" i="1" s="1"/>
  <c r="S172" i="1"/>
  <c r="S164" i="1"/>
  <c r="S163" i="1"/>
  <c r="S154" i="1"/>
  <c r="S147" i="1"/>
  <c r="R107" i="1"/>
  <c r="S101" i="1"/>
  <c r="S109" i="1" s="1"/>
  <c r="S112" i="1" s="1"/>
  <c r="S80" i="1"/>
  <c r="S90" i="1" s="1"/>
  <c r="S67" i="1"/>
  <c r="S56" i="1"/>
  <c r="S55" i="1"/>
  <c r="S54" i="1"/>
  <c r="S53" i="1"/>
  <c r="S52" i="1"/>
  <c r="S51" i="1"/>
  <c r="S24" i="1"/>
  <c r="S15" i="1"/>
  <c r="S13" i="1"/>
  <c r="S8" i="1"/>
  <c r="S6" i="1"/>
  <c r="B153" i="1"/>
  <c r="B154" i="1" s="1"/>
  <c r="B158" i="1"/>
  <c r="M166" i="1"/>
  <c r="R166" i="1"/>
  <c r="S16" i="1" l="1"/>
  <c r="S229" i="1"/>
  <c r="S19" i="1"/>
  <c r="S21" i="1" s="1"/>
  <c r="S116" i="1" s="1"/>
  <c r="S135" i="1" s="1"/>
  <c r="S17" i="1"/>
  <c r="S66" i="1"/>
  <c r="S63" i="1"/>
  <c r="S9" i="1"/>
  <c r="H141" i="1"/>
  <c r="M141" i="1"/>
  <c r="J127" i="1"/>
  <c r="K127" i="1" s="1"/>
  <c r="L127" i="1" s="1"/>
  <c r="J126" i="1"/>
  <c r="K126" i="1" s="1"/>
  <c r="L126" i="1" s="1"/>
  <c r="S162" i="1" l="1"/>
  <c r="S165" i="1" s="1"/>
  <c r="S167" i="1" s="1"/>
  <c r="S156" i="1"/>
  <c r="S45" i="1"/>
  <c r="S28" i="1"/>
  <c r="S40" i="1" s="1"/>
  <c r="S41" i="1" s="1"/>
  <c r="S22" i="1"/>
  <c r="H145" i="1"/>
  <c r="M145" i="1"/>
  <c r="R145" i="1"/>
  <c r="S49" i="1" l="1"/>
  <c r="S57" i="1" s="1"/>
  <c r="S58" i="1"/>
  <c r="R122" i="1"/>
  <c r="S59" i="1" l="1"/>
  <c r="S136" i="1"/>
  <c r="R75" i="1"/>
  <c r="R24" i="1"/>
  <c r="Q58" i="1"/>
  <c r="O47" i="1"/>
  <c r="E191" i="1"/>
  <c r="D191" i="1"/>
  <c r="E121" i="1"/>
  <c r="H58" i="1"/>
  <c r="Q216" i="1"/>
  <c r="Q215" i="1"/>
  <c r="Q214" i="1"/>
  <c r="Q213" i="1"/>
  <c r="Q212" i="1"/>
  <c r="Q211" i="1"/>
  <c r="Q210" i="1"/>
  <c r="Q227" i="1"/>
  <c r="Q226" i="1"/>
  <c r="Q224" i="1"/>
  <c r="Q223" i="1"/>
  <c r="Q222" i="1"/>
  <c r="Q221" i="1"/>
  <c r="Q220" i="1"/>
  <c r="Q217" i="1"/>
  <c r="P228" i="1"/>
  <c r="P218" i="1"/>
  <c r="L213" i="1"/>
  <c r="Q172" i="1"/>
  <c r="R172" i="1"/>
  <c r="O172" i="1"/>
  <c r="P172" i="1"/>
  <c r="P165" i="1"/>
  <c r="P167" i="1" s="1"/>
  <c r="Q165" i="1"/>
  <c r="Q167" i="1" s="1"/>
  <c r="R144" i="1"/>
  <c r="R164" i="1" s="1"/>
  <c r="R143" i="1"/>
  <c r="R142" i="1"/>
  <c r="R163" i="1" s="1"/>
  <c r="R141" i="1"/>
  <c r="R140" i="1"/>
  <c r="R139" i="1"/>
  <c r="R146" i="1"/>
  <c r="R155" i="1"/>
  <c r="R152" i="1"/>
  <c r="R151" i="1"/>
  <c r="R150" i="1"/>
  <c r="R88" i="1"/>
  <c r="P154" i="1"/>
  <c r="Q154" i="1"/>
  <c r="P147" i="1"/>
  <c r="Q147" i="1"/>
  <c r="P135" i="1"/>
  <c r="Q135" i="1"/>
  <c r="P101" i="1"/>
  <c r="P109" i="1" s="1"/>
  <c r="P112" i="1" s="1"/>
  <c r="Q101" i="1"/>
  <c r="R101" i="1" s="1"/>
  <c r="P80" i="1"/>
  <c r="P90" i="1" s="1"/>
  <c r="Q80" i="1"/>
  <c r="Q90" i="1" s="1"/>
  <c r="R90" i="1" s="1"/>
  <c r="P67" i="1"/>
  <c r="Q67" i="1"/>
  <c r="R55" i="1"/>
  <c r="P49" i="1"/>
  <c r="P57" i="1" s="1"/>
  <c r="Q49" i="1"/>
  <c r="Q57" i="1" s="1"/>
  <c r="P58" i="1"/>
  <c r="P40" i="1"/>
  <c r="P41" i="1" s="1"/>
  <c r="Q40" i="1"/>
  <c r="Q41" i="1" s="1"/>
  <c r="R225" i="1"/>
  <c r="R39" i="1"/>
  <c r="R5" i="1"/>
  <c r="R240" i="1"/>
  <c r="R239" i="1"/>
  <c r="R238" i="1"/>
  <c r="R237" i="1"/>
  <c r="R236" i="1"/>
  <c r="R235" i="1"/>
  <c r="R234" i="1"/>
  <c r="R233" i="1"/>
  <c r="R232" i="1"/>
  <c r="R205" i="1"/>
  <c r="R200" i="1"/>
  <c r="R199" i="1"/>
  <c r="R197" i="1"/>
  <c r="R196" i="1"/>
  <c r="R192" i="1"/>
  <c r="R186" i="1"/>
  <c r="R184" i="1"/>
  <c r="R191" i="1" s="1"/>
  <c r="R183" i="1"/>
  <c r="R134" i="1"/>
  <c r="R133" i="1"/>
  <c r="R132" i="1"/>
  <c r="R131" i="1"/>
  <c r="R130" i="1"/>
  <c r="R128" i="1"/>
  <c r="R127" i="1"/>
  <c r="R125" i="1"/>
  <c r="R124" i="1"/>
  <c r="R123" i="1"/>
  <c r="R126" i="1"/>
  <c r="R121" i="1"/>
  <c r="R120" i="1"/>
  <c r="R118" i="1"/>
  <c r="R111" i="1"/>
  <c r="R108" i="1"/>
  <c r="R106" i="1"/>
  <c r="R105" i="1"/>
  <c r="R104" i="1"/>
  <c r="R103" i="1"/>
  <c r="R102" i="1"/>
  <c r="R100" i="1"/>
  <c r="R99" i="1"/>
  <c r="R98" i="1"/>
  <c r="R97" i="1"/>
  <c r="R96" i="1"/>
  <c r="R95" i="1"/>
  <c r="R89" i="1"/>
  <c r="R87" i="1"/>
  <c r="R86" i="1"/>
  <c r="R85" i="1"/>
  <c r="R84" i="1"/>
  <c r="R83" i="1"/>
  <c r="R82" i="1"/>
  <c r="R81" i="1"/>
  <c r="R79" i="1"/>
  <c r="R78" i="1"/>
  <c r="R77" i="1"/>
  <c r="R76" i="1"/>
  <c r="R74" i="1"/>
  <c r="R73" i="1"/>
  <c r="R65" i="1"/>
  <c r="R64" i="1"/>
  <c r="R62" i="1"/>
  <c r="R56" i="1"/>
  <c r="R54" i="1"/>
  <c r="R53" i="1"/>
  <c r="R52" i="1"/>
  <c r="R51" i="1"/>
  <c r="R50" i="1"/>
  <c r="R46" i="1"/>
  <c r="R38" i="1"/>
  <c r="R37" i="1"/>
  <c r="R36" i="1"/>
  <c r="R35" i="1"/>
  <c r="R34" i="1"/>
  <c r="R33" i="1"/>
  <c r="R32" i="1"/>
  <c r="R31" i="1"/>
  <c r="R20" i="1"/>
  <c r="R18" i="1"/>
  <c r="R12" i="1"/>
  <c r="R11" i="1"/>
  <c r="R7" i="1"/>
  <c r="P203" i="1"/>
  <c r="Q203" i="1"/>
  <c r="P204" i="1"/>
  <c r="Q204" i="1"/>
  <c r="P198" i="1"/>
  <c r="P201" i="1" s="1"/>
  <c r="P202" i="1" s="1"/>
  <c r="Q198" i="1"/>
  <c r="Q201" i="1" s="1"/>
  <c r="Q202" i="1" s="1"/>
  <c r="P190" i="1"/>
  <c r="Q190" i="1"/>
  <c r="P191" i="1"/>
  <c r="Q191" i="1"/>
  <c r="O185" i="1"/>
  <c r="P185" i="1"/>
  <c r="P188" i="1" s="1"/>
  <c r="Q185" i="1"/>
  <c r="Q188" i="1" s="1"/>
  <c r="P15" i="1"/>
  <c r="Q15" i="1"/>
  <c r="P13" i="1"/>
  <c r="Q13" i="1"/>
  <c r="S14" i="1" s="1"/>
  <c r="P6" i="1"/>
  <c r="Q6" i="1"/>
  <c r="P8" i="1"/>
  <c r="P63" i="1" s="1"/>
  <c r="Q8" i="1"/>
  <c r="B42" i="1"/>
  <c r="M38" i="1"/>
  <c r="M39" i="1"/>
  <c r="Q9" i="1" l="1"/>
  <c r="Q63" i="1"/>
  <c r="Q59" i="1"/>
  <c r="P59" i="1"/>
  <c r="P156" i="1"/>
  <c r="Q156" i="1"/>
  <c r="R154" i="1"/>
  <c r="Q136" i="1"/>
  <c r="Q218" i="1"/>
  <c r="P229" i="1"/>
  <c r="Q228" i="1"/>
  <c r="Q14" i="1"/>
  <c r="P136" i="1"/>
  <c r="R228" i="1"/>
  <c r="Q109" i="1"/>
  <c r="R80" i="1"/>
  <c r="P16" i="1"/>
  <c r="P66" i="1" s="1"/>
  <c r="R13" i="1"/>
  <c r="R190" i="1"/>
  <c r="R203" i="1"/>
  <c r="R204" i="1"/>
  <c r="P9" i="1"/>
  <c r="Q16" i="1"/>
  <c r="Q66" i="1" s="1"/>
  <c r="C159" i="1"/>
  <c r="B40" i="1"/>
  <c r="B41" i="1" s="1"/>
  <c r="L42" i="1"/>
  <c r="D42" i="1"/>
  <c r="E42" i="1"/>
  <c r="F42" i="1"/>
  <c r="I42" i="1"/>
  <c r="D24" i="1"/>
  <c r="C40" i="1"/>
  <c r="C67" i="1"/>
  <c r="B67" i="1"/>
  <c r="B135" i="1"/>
  <c r="C165" i="1"/>
  <c r="B165" i="1"/>
  <c r="P17" i="1" l="1"/>
  <c r="P19" i="1"/>
  <c r="P21" i="1" s="1"/>
  <c r="P22" i="1" s="1"/>
  <c r="R109" i="1"/>
  <c r="Q112" i="1"/>
  <c r="R112" i="1" s="1"/>
  <c r="Q19" i="1"/>
  <c r="Q21" i="1" s="1"/>
  <c r="Q22" i="1" s="1"/>
  <c r="Q17" i="1"/>
  <c r="D165" i="1"/>
  <c r="M12" i="1"/>
  <c r="D5" i="1"/>
  <c r="H5" i="1" s="1"/>
  <c r="M5" i="1"/>
  <c r="R6" i="1" s="1"/>
  <c r="J6" i="1"/>
  <c r="K6" i="1"/>
  <c r="L6" i="1"/>
  <c r="N6" i="1"/>
  <c r="O6" i="1"/>
  <c r="D7" i="1"/>
  <c r="H7" i="1" s="1"/>
  <c r="M7" i="1"/>
  <c r="E8" i="1"/>
  <c r="F8" i="1"/>
  <c r="F9" i="1" s="1"/>
  <c r="G8" i="1"/>
  <c r="G63" i="1" s="1"/>
  <c r="I8" i="1"/>
  <c r="I63" i="1" s="1"/>
  <c r="J8" i="1"/>
  <c r="J63" i="1" s="1"/>
  <c r="K8" i="1"/>
  <c r="K63" i="1" s="1"/>
  <c r="L8" i="1"/>
  <c r="N8" i="1"/>
  <c r="O8" i="1"/>
  <c r="O63" i="1" s="1"/>
  <c r="H11" i="1"/>
  <c r="M11" i="1"/>
  <c r="R15" i="1" s="1"/>
  <c r="H12" i="1"/>
  <c r="D13" i="1"/>
  <c r="E13" i="1"/>
  <c r="F13" i="1"/>
  <c r="G13" i="1"/>
  <c r="I13" i="1"/>
  <c r="J13" i="1"/>
  <c r="K13" i="1"/>
  <c r="L13" i="1"/>
  <c r="N13" i="1"/>
  <c r="O13" i="1"/>
  <c r="P14" i="1" s="1"/>
  <c r="E15" i="1"/>
  <c r="F15" i="1"/>
  <c r="G15" i="1"/>
  <c r="I15" i="1"/>
  <c r="J15" i="1"/>
  <c r="K15" i="1"/>
  <c r="L15" i="1"/>
  <c r="N15" i="1"/>
  <c r="O15" i="1"/>
  <c r="H18" i="1"/>
  <c r="M18" i="1"/>
  <c r="H20" i="1"/>
  <c r="M20" i="1"/>
  <c r="M24" i="1"/>
  <c r="E24" i="1"/>
  <c r="F24" i="1"/>
  <c r="H31" i="1"/>
  <c r="M31" i="1"/>
  <c r="H32" i="1"/>
  <c r="M32" i="1"/>
  <c r="G33" i="1"/>
  <c r="H33" i="1" s="1"/>
  <c r="M33" i="1"/>
  <c r="H34" i="1"/>
  <c r="M34" i="1"/>
  <c r="H35" i="1"/>
  <c r="M35" i="1"/>
  <c r="H36" i="1"/>
  <c r="M36" i="1"/>
  <c r="M37" i="1"/>
  <c r="H46" i="1"/>
  <c r="J46" i="1"/>
  <c r="M46" i="1" s="1"/>
  <c r="D47" i="1"/>
  <c r="E47" i="1"/>
  <c r="F47" i="1"/>
  <c r="G47" i="1"/>
  <c r="I47" i="1"/>
  <c r="J47" i="1"/>
  <c r="K47" i="1"/>
  <c r="L47" i="1"/>
  <c r="N47" i="1"/>
  <c r="R47" i="1" s="1"/>
  <c r="H48" i="1"/>
  <c r="I48" i="1"/>
  <c r="J48" i="1"/>
  <c r="K48" i="1"/>
  <c r="L48" i="1"/>
  <c r="N48" i="1"/>
  <c r="O48" i="1"/>
  <c r="K50" i="1"/>
  <c r="L50" i="1"/>
  <c r="H51" i="1"/>
  <c r="M51" i="1"/>
  <c r="H52" i="1"/>
  <c r="M52" i="1"/>
  <c r="H53" i="1"/>
  <c r="M53" i="1"/>
  <c r="H54" i="1"/>
  <c r="I54" i="1"/>
  <c r="K54" i="1"/>
  <c r="L54" i="1"/>
  <c r="M56" i="1"/>
  <c r="H62" i="1"/>
  <c r="M62" i="1"/>
  <c r="H64" i="1"/>
  <c r="M64" i="1"/>
  <c r="H65" i="1"/>
  <c r="M65" i="1"/>
  <c r="D67" i="1"/>
  <c r="E67" i="1"/>
  <c r="F67" i="1"/>
  <c r="G67" i="1"/>
  <c r="I67" i="1"/>
  <c r="J67" i="1"/>
  <c r="J50" i="1" s="1"/>
  <c r="K67" i="1"/>
  <c r="L67" i="1"/>
  <c r="N67" i="1"/>
  <c r="O67" i="1"/>
  <c r="H73" i="1"/>
  <c r="M73" i="1"/>
  <c r="H74" i="1"/>
  <c r="M74" i="1"/>
  <c r="H76" i="1"/>
  <c r="M76" i="1"/>
  <c r="H77" i="1"/>
  <c r="M77" i="1"/>
  <c r="H78" i="1"/>
  <c r="M78" i="1"/>
  <c r="H79" i="1"/>
  <c r="M79" i="1"/>
  <c r="D80" i="1"/>
  <c r="D90" i="1" s="1"/>
  <c r="E80" i="1"/>
  <c r="E90" i="1" s="1"/>
  <c r="F80" i="1"/>
  <c r="F90" i="1" s="1"/>
  <c r="G80" i="1"/>
  <c r="H80" i="1" s="1"/>
  <c r="I80" i="1"/>
  <c r="I90" i="1" s="1"/>
  <c r="J80" i="1"/>
  <c r="J90" i="1" s="1"/>
  <c r="K80" i="1"/>
  <c r="K90" i="1" s="1"/>
  <c r="L80" i="1"/>
  <c r="M80" i="1" s="1"/>
  <c r="N80" i="1"/>
  <c r="N90" i="1" s="1"/>
  <c r="O80" i="1"/>
  <c r="O90" i="1" s="1"/>
  <c r="H81" i="1"/>
  <c r="M81" i="1"/>
  <c r="H82" i="1"/>
  <c r="M82" i="1"/>
  <c r="H83" i="1"/>
  <c r="M83" i="1"/>
  <c r="H84" i="1"/>
  <c r="M84" i="1"/>
  <c r="H85" i="1"/>
  <c r="M85" i="1"/>
  <c r="H86" i="1"/>
  <c r="M86" i="1"/>
  <c r="H87" i="1"/>
  <c r="M87" i="1"/>
  <c r="H89" i="1"/>
  <c r="M89" i="1"/>
  <c r="H95" i="1"/>
  <c r="M95" i="1"/>
  <c r="H96" i="1"/>
  <c r="M96" i="1"/>
  <c r="H97" i="1"/>
  <c r="M97" i="1"/>
  <c r="H98" i="1"/>
  <c r="M98" i="1"/>
  <c r="H99" i="1"/>
  <c r="M99" i="1"/>
  <c r="H100" i="1"/>
  <c r="M100" i="1"/>
  <c r="D101" i="1"/>
  <c r="D109" i="1" s="1"/>
  <c r="D112" i="1" s="1"/>
  <c r="E101" i="1"/>
  <c r="E109" i="1" s="1"/>
  <c r="E112" i="1" s="1"/>
  <c r="F101" i="1"/>
  <c r="F109" i="1" s="1"/>
  <c r="F112" i="1" s="1"/>
  <c r="G101" i="1"/>
  <c r="H101" i="1" s="1"/>
  <c r="I101" i="1"/>
  <c r="I109" i="1" s="1"/>
  <c r="I112" i="1" s="1"/>
  <c r="J101" i="1"/>
  <c r="J109" i="1" s="1"/>
  <c r="J112" i="1" s="1"/>
  <c r="K101" i="1"/>
  <c r="K109" i="1" s="1"/>
  <c r="K112" i="1" s="1"/>
  <c r="L101" i="1"/>
  <c r="M101" i="1" s="1"/>
  <c r="N101" i="1"/>
  <c r="O101" i="1"/>
  <c r="O109" i="1" s="1"/>
  <c r="O112" i="1" s="1"/>
  <c r="H102" i="1"/>
  <c r="M102" i="1"/>
  <c r="H103" i="1"/>
  <c r="M103" i="1"/>
  <c r="H104" i="1"/>
  <c r="M104" i="1"/>
  <c r="H105" i="1"/>
  <c r="M105" i="1"/>
  <c r="H106" i="1"/>
  <c r="M106" i="1"/>
  <c r="M108" i="1"/>
  <c r="H110" i="1"/>
  <c r="H111" i="1"/>
  <c r="M111" i="1"/>
  <c r="E118" i="1"/>
  <c r="H118" i="1" s="1"/>
  <c r="K118" i="1"/>
  <c r="L118" i="1"/>
  <c r="E120" i="1"/>
  <c r="H120" i="1" s="1"/>
  <c r="M120" i="1"/>
  <c r="H121" i="1"/>
  <c r="M121" i="1"/>
  <c r="H126" i="1"/>
  <c r="M126" i="1"/>
  <c r="E123" i="1"/>
  <c r="H123" i="1" s="1"/>
  <c r="M123" i="1"/>
  <c r="H124" i="1"/>
  <c r="M124" i="1"/>
  <c r="E125" i="1"/>
  <c r="H125" i="1" s="1"/>
  <c r="M125" i="1"/>
  <c r="H127" i="1"/>
  <c r="M127" i="1"/>
  <c r="M128" i="1"/>
  <c r="H129" i="1"/>
  <c r="H130" i="1"/>
  <c r="M130" i="1"/>
  <c r="H131" i="1"/>
  <c r="M131" i="1"/>
  <c r="H132" i="1"/>
  <c r="M132" i="1"/>
  <c r="H133" i="1"/>
  <c r="M133" i="1"/>
  <c r="H134" i="1"/>
  <c r="M134" i="1"/>
  <c r="E139" i="1"/>
  <c r="H139" i="1" s="1"/>
  <c r="M139" i="1"/>
  <c r="H140" i="1"/>
  <c r="M140" i="1"/>
  <c r="E142" i="1"/>
  <c r="H142" i="1" s="1"/>
  <c r="H163" i="1" s="1"/>
  <c r="M142" i="1"/>
  <c r="M163" i="1" s="1"/>
  <c r="H143" i="1"/>
  <c r="M143" i="1"/>
  <c r="E144" i="1"/>
  <c r="M144" i="1"/>
  <c r="M164" i="1" s="1"/>
  <c r="H146" i="1"/>
  <c r="M146" i="1"/>
  <c r="D147" i="1"/>
  <c r="F147" i="1"/>
  <c r="G147" i="1"/>
  <c r="I147" i="1"/>
  <c r="J147" i="1"/>
  <c r="K147" i="1"/>
  <c r="L147" i="1"/>
  <c r="N147" i="1"/>
  <c r="O147" i="1"/>
  <c r="M150" i="1"/>
  <c r="H151" i="1"/>
  <c r="M151" i="1"/>
  <c r="H152" i="1"/>
  <c r="M152" i="1"/>
  <c r="D154" i="1"/>
  <c r="E154" i="1"/>
  <c r="F154" i="1"/>
  <c r="G154" i="1"/>
  <c r="I154" i="1"/>
  <c r="J154" i="1"/>
  <c r="K154" i="1"/>
  <c r="L154" i="1"/>
  <c r="N154" i="1"/>
  <c r="O154" i="1"/>
  <c r="H155" i="1"/>
  <c r="M155" i="1"/>
  <c r="D157" i="1"/>
  <c r="H157" i="1"/>
  <c r="F163" i="1"/>
  <c r="G163" i="1"/>
  <c r="I163" i="1"/>
  <c r="J163" i="1"/>
  <c r="K163" i="1"/>
  <c r="L163" i="1"/>
  <c r="N163" i="1"/>
  <c r="F164" i="1"/>
  <c r="G164" i="1"/>
  <c r="I164" i="1"/>
  <c r="J164" i="1"/>
  <c r="K164" i="1"/>
  <c r="L164" i="1"/>
  <c r="N164" i="1"/>
  <c r="O165" i="1"/>
  <c r="O167" i="1" s="1"/>
  <c r="G170" i="1"/>
  <c r="H170" i="1" s="1"/>
  <c r="G171" i="1"/>
  <c r="H171" i="1" s="1"/>
  <c r="L171" i="1"/>
  <c r="D172" i="1"/>
  <c r="E172" i="1"/>
  <c r="F172" i="1"/>
  <c r="I172" i="1"/>
  <c r="J172" i="1"/>
  <c r="J170" i="1" s="1"/>
  <c r="L170" i="1" s="1"/>
  <c r="K172" i="1"/>
  <c r="L172" i="1"/>
  <c r="M172" i="1"/>
  <c r="N172" i="1"/>
  <c r="H183" i="1"/>
  <c r="M183" i="1"/>
  <c r="H184" i="1"/>
  <c r="H191" i="1" s="1"/>
  <c r="M184" i="1"/>
  <c r="M191" i="1" s="1"/>
  <c r="D185" i="1"/>
  <c r="E185" i="1"/>
  <c r="E188" i="1" s="1"/>
  <c r="E189" i="1" s="1"/>
  <c r="F185" i="1"/>
  <c r="F188" i="1" s="1"/>
  <c r="F189" i="1" s="1"/>
  <c r="G185" i="1"/>
  <c r="G188" i="1" s="1"/>
  <c r="G189" i="1" s="1"/>
  <c r="I185" i="1"/>
  <c r="I188" i="1" s="1"/>
  <c r="I189" i="1" s="1"/>
  <c r="J185" i="1"/>
  <c r="J188" i="1" s="1"/>
  <c r="J189" i="1" s="1"/>
  <c r="K185" i="1"/>
  <c r="K188" i="1" s="1"/>
  <c r="K189" i="1" s="1"/>
  <c r="L185" i="1"/>
  <c r="L188" i="1" s="1"/>
  <c r="L189" i="1" s="1"/>
  <c r="N185" i="1"/>
  <c r="H186" i="1"/>
  <c r="M186" i="1"/>
  <c r="O188" i="1"/>
  <c r="D190" i="1"/>
  <c r="E190" i="1"/>
  <c r="F190" i="1"/>
  <c r="G190" i="1"/>
  <c r="I190" i="1"/>
  <c r="J190" i="1"/>
  <c r="K190" i="1"/>
  <c r="L190" i="1"/>
  <c r="N190" i="1"/>
  <c r="O190" i="1"/>
  <c r="F191" i="1"/>
  <c r="G191" i="1"/>
  <c r="I191" i="1"/>
  <c r="J191" i="1"/>
  <c r="K191" i="1"/>
  <c r="L191" i="1"/>
  <c r="N191" i="1"/>
  <c r="O191" i="1"/>
  <c r="H192" i="1"/>
  <c r="M192" i="1"/>
  <c r="H196" i="1"/>
  <c r="M196" i="1"/>
  <c r="H197" i="1"/>
  <c r="M197" i="1"/>
  <c r="D198" i="1"/>
  <c r="D201" i="1" s="1"/>
  <c r="D202" i="1" s="1"/>
  <c r="E198" i="1"/>
  <c r="E201" i="1" s="1"/>
  <c r="E202" i="1" s="1"/>
  <c r="F198" i="1"/>
  <c r="F201" i="1" s="1"/>
  <c r="F202" i="1" s="1"/>
  <c r="G198" i="1"/>
  <c r="I198" i="1"/>
  <c r="I201" i="1" s="1"/>
  <c r="I202" i="1" s="1"/>
  <c r="J198" i="1"/>
  <c r="J201" i="1" s="1"/>
  <c r="J202" i="1" s="1"/>
  <c r="K198" i="1"/>
  <c r="K201" i="1" s="1"/>
  <c r="K202" i="1" s="1"/>
  <c r="O198" i="1"/>
  <c r="H199" i="1"/>
  <c r="M199" i="1"/>
  <c r="H200" i="1"/>
  <c r="M200" i="1"/>
  <c r="L201" i="1"/>
  <c r="L202" i="1" s="1"/>
  <c r="N201" i="1"/>
  <c r="N202" i="1" s="1"/>
  <c r="D203" i="1"/>
  <c r="E203" i="1"/>
  <c r="F203" i="1"/>
  <c r="G203" i="1"/>
  <c r="I203" i="1"/>
  <c r="J203" i="1"/>
  <c r="K203" i="1"/>
  <c r="L203" i="1"/>
  <c r="N203" i="1"/>
  <c r="O203" i="1"/>
  <c r="D204" i="1"/>
  <c r="E204" i="1"/>
  <c r="F204" i="1"/>
  <c r="G204" i="1"/>
  <c r="I204" i="1"/>
  <c r="J204" i="1"/>
  <c r="K204" i="1"/>
  <c r="L204" i="1"/>
  <c r="N204" i="1"/>
  <c r="O204" i="1"/>
  <c r="H205" i="1"/>
  <c r="M205" i="1"/>
  <c r="G210" i="1"/>
  <c r="H210" i="1" s="1"/>
  <c r="L210" i="1"/>
  <c r="G211" i="1"/>
  <c r="H211" i="1" s="1"/>
  <c r="L211" i="1"/>
  <c r="H212" i="1"/>
  <c r="L212" i="1"/>
  <c r="H213" i="1"/>
  <c r="H214" i="1"/>
  <c r="L214" i="1"/>
  <c r="H215" i="1"/>
  <c r="L215" i="1"/>
  <c r="H216" i="1"/>
  <c r="L216" i="1"/>
  <c r="H217" i="1"/>
  <c r="L217" i="1"/>
  <c r="D218" i="1"/>
  <c r="E218" i="1"/>
  <c r="F218" i="1"/>
  <c r="I218" i="1"/>
  <c r="J218" i="1"/>
  <c r="K218" i="1"/>
  <c r="M218" i="1"/>
  <c r="N218" i="1"/>
  <c r="O218" i="1"/>
  <c r="H219" i="1"/>
  <c r="H220" i="1"/>
  <c r="L220" i="1"/>
  <c r="H221" i="1"/>
  <c r="L221" i="1"/>
  <c r="H222" i="1"/>
  <c r="L222" i="1"/>
  <c r="H223" i="1"/>
  <c r="L223" i="1"/>
  <c r="H224" i="1"/>
  <c r="L224" i="1"/>
  <c r="H225" i="1"/>
  <c r="M225" i="1"/>
  <c r="M228" i="1" s="1"/>
  <c r="H226" i="1"/>
  <c r="L226" i="1"/>
  <c r="H227" i="1"/>
  <c r="I227" i="1"/>
  <c r="I228" i="1" s="1"/>
  <c r="J227" i="1"/>
  <c r="D228" i="1"/>
  <c r="E228" i="1"/>
  <c r="F228" i="1"/>
  <c r="G228" i="1"/>
  <c r="K228" i="1"/>
  <c r="N228" i="1"/>
  <c r="O228" i="1"/>
  <c r="H232" i="1"/>
  <c r="M232" i="1"/>
  <c r="H233" i="1"/>
  <c r="M233" i="1"/>
  <c r="H234" i="1"/>
  <c r="M234" i="1"/>
  <c r="H235" i="1"/>
  <c r="M235" i="1"/>
  <c r="H236" i="1"/>
  <c r="M236" i="1"/>
  <c r="H237" i="1"/>
  <c r="M237" i="1"/>
  <c r="H238" i="1"/>
  <c r="M238" i="1"/>
  <c r="H239" i="1"/>
  <c r="M239" i="1"/>
  <c r="H240" i="1"/>
  <c r="M240" i="1"/>
  <c r="L109" i="1" l="1"/>
  <c r="M109" i="1" s="1"/>
  <c r="N109" i="1"/>
  <c r="N112" i="1" s="1"/>
  <c r="N229" i="1"/>
  <c r="H144" i="1"/>
  <c r="H164" i="1" s="1"/>
  <c r="E14" i="1"/>
  <c r="R147" i="1"/>
  <c r="R8" i="1"/>
  <c r="R63" i="1" s="1"/>
  <c r="R48" i="1"/>
  <c r="N30" i="1"/>
  <c r="R30" i="1" s="1"/>
  <c r="R67" i="1"/>
  <c r="N188" i="1"/>
  <c r="N189" i="1" s="1"/>
  <c r="R185" i="1"/>
  <c r="R188" i="1" s="1"/>
  <c r="R189" i="1" s="1"/>
  <c r="O201" i="1"/>
  <c r="O202" i="1" s="1"/>
  <c r="R198" i="1"/>
  <c r="R201" i="1" s="1"/>
  <c r="R202" i="1" s="1"/>
  <c r="H204" i="1"/>
  <c r="G9" i="1"/>
  <c r="M198" i="1"/>
  <c r="M201" i="1" s="1"/>
  <c r="M202" i="1" s="1"/>
  <c r="L227" i="1"/>
  <c r="L228" i="1" s="1"/>
  <c r="F229" i="1"/>
  <c r="H198" i="1"/>
  <c r="H201" i="1" s="1"/>
  <c r="H202" i="1" s="1"/>
  <c r="K229" i="1"/>
  <c r="E164" i="1"/>
  <c r="H154" i="1"/>
  <c r="I14" i="1"/>
  <c r="D229" i="1"/>
  <c r="H190" i="1"/>
  <c r="K16" i="1"/>
  <c r="K66" i="1" s="1"/>
  <c r="G14" i="1"/>
  <c r="K14" i="1"/>
  <c r="I6" i="1"/>
  <c r="L218" i="1"/>
  <c r="J16" i="1"/>
  <c r="J19" i="1" s="1"/>
  <c r="J21" i="1" s="1"/>
  <c r="J116" i="1" s="1"/>
  <c r="J135" i="1" s="1"/>
  <c r="J156" i="1" s="1"/>
  <c r="H185" i="1"/>
  <c r="H188" i="1" s="1"/>
  <c r="H189" i="1" s="1"/>
  <c r="M47" i="1"/>
  <c r="K9" i="1"/>
  <c r="G109" i="1"/>
  <c r="M203" i="1"/>
  <c r="G90" i="1"/>
  <c r="H90" i="1" s="1"/>
  <c r="O14" i="1"/>
  <c r="M48" i="1"/>
  <c r="M15" i="1"/>
  <c r="O229" i="1"/>
  <c r="L90" i="1"/>
  <c r="M90" i="1" s="1"/>
  <c r="M54" i="1"/>
  <c r="F14" i="1"/>
  <c r="O9" i="1"/>
  <c r="H203" i="1"/>
  <c r="E229" i="1"/>
  <c r="O16" i="1"/>
  <c r="N14" i="1"/>
  <c r="M118" i="1"/>
  <c r="H47" i="1"/>
  <c r="G16" i="1"/>
  <c r="J228" i="1"/>
  <c r="J229" i="1" s="1"/>
  <c r="M154" i="1"/>
  <c r="M13" i="1"/>
  <c r="R14" i="1" s="1"/>
  <c r="G201" i="1"/>
  <c r="G202" i="1" s="1"/>
  <c r="M147" i="1"/>
  <c r="M67" i="1"/>
  <c r="J9" i="1"/>
  <c r="H8" i="1"/>
  <c r="H9" i="1" s="1"/>
  <c r="D188" i="1"/>
  <c r="D189" i="1" s="1"/>
  <c r="H172" i="1"/>
  <c r="I30" i="1"/>
  <c r="H15" i="1"/>
  <c r="J14" i="1"/>
  <c r="I9" i="1"/>
  <c r="F16" i="1"/>
  <c r="F19" i="1" s="1"/>
  <c r="F21" i="1" s="1"/>
  <c r="M185" i="1"/>
  <c r="M188" i="1" s="1"/>
  <c r="M189" i="1" s="1"/>
  <c r="N16" i="1"/>
  <c r="N66" i="1" s="1"/>
  <c r="E16" i="1"/>
  <c r="E66" i="1" s="1"/>
  <c r="G218" i="1"/>
  <c r="G229" i="1" s="1"/>
  <c r="M190" i="1"/>
  <c r="E163" i="1"/>
  <c r="H13" i="1"/>
  <c r="H14" i="1" s="1"/>
  <c r="M8" i="1"/>
  <c r="M9" i="1" s="1"/>
  <c r="D8" i="1"/>
  <c r="H67" i="1"/>
  <c r="E9" i="1"/>
  <c r="L16" i="1"/>
  <c r="L66" i="1" s="1"/>
  <c r="M6" i="1"/>
  <c r="M204" i="1"/>
  <c r="I16" i="1"/>
  <c r="I229" i="1"/>
  <c r="B159" i="1"/>
  <c r="H147" i="1"/>
  <c r="J30" i="1"/>
  <c r="N9" i="1"/>
  <c r="G172" i="1"/>
  <c r="N63" i="1"/>
  <c r="F63" i="1"/>
  <c r="L112" i="1"/>
  <c r="M112" i="1" s="1"/>
  <c r="E63" i="1"/>
  <c r="L14" i="1"/>
  <c r="H228" i="1"/>
  <c r="L63" i="1"/>
  <c r="E30" i="1"/>
  <c r="I50" i="1"/>
  <c r="M50" i="1" s="1"/>
  <c r="E147" i="1"/>
  <c r="R9" i="1" l="1"/>
  <c r="R16" i="1"/>
  <c r="J66" i="1"/>
  <c r="J17" i="1"/>
  <c r="M63" i="1"/>
  <c r="K17" i="1"/>
  <c r="L17" i="1"/>
  <c r="M16" i="1"/>
  <c r="M17" i="1" s="1"/>
  <c r="J22" i="1"/>
  <c r="K19" i="1"/>
  <c r="K21" i="1" s="1"/>
  <c r="N19" i="1"/>
  <c r="N21" i="1" s="1"/>
  <c r="N22" i="1" s="1"/>
  <c r="F17" i="1"/>
  <c r="H63" i="1"/>
  <c r="H229" i="1"/>
  <c r="J28" i="1"/>
  <c r="J40" i="1" s="1"/>
  <c r="J41" i="1" s="1"/>
  <c r="J45" i="1"/>
  <c r="J58" i="1" s="1"/>
  <c r="L19" i="1"/>
  <c r="L21" i="1" s="1"/>
  <c r="L116" i="1" s="1"/>
  <c r="L135" i="1" s="1"/>
  <c r="L156" i="1" s="1"/>
  <c r="L229" i="1"/>
  <c r="M229" i="1" s="1"/>
  <c r="H109" i="1"/>
  <c r="G112" i="1"/>
  <c r="H112" i="1" s="1"/>
  <c r="O19" i="1"/>
  <c r="O21" i="1" s="1"/>
  <c r="O17" i="1"/>
  <c r="O66" i="1"/>
  <c r="N17" i="1"/>
  <c r="G19" i="1"/>
  <c r="G21" i="1" s="1"/>
  <c r="G17" i="1"/>
  <c r="G66" i="1"/>
  <c r="F66" i="1"/>
  <c r="M30" i="1"/>
  <c r="E19" i="1"/>
  <c r="E21" i="1" s="1"/>
  <c r="E116" i="1" s="1"/>
  <c r="E135" i="1" s="1"/>
  <c r="E17" i="1"/>
  <c r="H16" i="1"/>
  <c r="H17" i="1" s="1"/>
  <c r="H218" i="1"/>
  <c r="D16" i="1"/>
  <c r="D9" i="1"/>
  <c r="I66" i="1"/>
  <c r="I17" i="1"/>
  <c r="I19" i="1"/>
  <c r="I21" i="1" s="1"/>
  <c r="M14" i="1"/>
  <c r="D63" i="1"/>
  <c r="E50" i="1"/>
  <c r="H50" i="1" s="1"/>
  <c r="H30" i="1"/>
  <c r="J162" i="1"/>
  <c r="J165" i="1" s="1"/>
  <c r="F28" i="1"/>
  <c r="F40" i="1" s="1"/>
  <c r="F41" i="1" s="1"/>
  <c r="F116" i="1"/>
  <c r="F135" i="1" s="1"/>
  <c r="F22" i="1"/>
  <c r="F45" i="1"/>
  <c r="R19" i="1" l="1"/>
  <c r="R21" i="1" s="1"/>
  <c r="R17" i="1"/>
  <c r="R66" i="1"/>
  <c r="N116" i="1"/>
  <c r="M66" i="1"/>
  <c r="H19" i="1"/>
  <c r="H21" i="1" s="1"/>
  <c r="H22" i="1" s="1"/>
  <c r="L28" i="1"/>
  <c r="L40" i="1" s="1"/>
  <c r="L41" i="1" s="1"/>
  <c r="E28" i="1"/>
  <c r="E40" i="1" s="1"/>
  <c r="E41" i="1" s="1"/>
  <c r="L45" i="1"/>
  <c r="L58" i="1" s="1"/>
  <c r="L22" i="1"/>
  <c r="N28" i="1"/>
  <c r="M19" i="1"/>
  <c r="M21" i="1" s="1"/>
  <c r="K45" i="1"/>
  <c r="K22" i="1"/>
  <c r="K28" i="1"/>
  <c r="K40" i="1" s="1"/>
  <c r="K41" i="1" s="1"/>
  <c r="K116" i="1"/>
  <c r="K135" i="1" s="1"/>
  <c r="K156" i="1" s="1"/>
  <c r="J49" i="1"/>
  <c r="J57" i="1" s="1"/>
  <c r="J136" i="1" s="1"/>
  <c r="E45" i="1"/>
  <c r="E49" i="1" s="1"/>
  <c r="E57" i="1" s="1"/>
  <c r="N45" i="1"/>
  <c r="N58" i="1" s="1"/>
  <c r="E22" i="1"/>
  <c r="H66" i="1"/>
  <c r="G45" i="1"/>
  <c r="G116" i="1"/>
  <c r="G135" i="1" s="1"/>
  <c r="G28" i="1"/>
  <c r="G40" i="1" s="1"/>
  <c r="G41" i="1" s="1"/>
  <c r="G22" i="1"/>
  <c r="O45" i="1"/>
  <c r="O22" i="1"/>
  <c r="O116" i="1"/>
  <c r="O135" i="1" s="1"/>
  <c r="O156" i="1" s="1"/>
  <c r="O28" i="1"/>
  <c r="O40" i="1" s="1"/>
  <c r="O41" i="1" s="1"/>
  <c r="D17" i="1"/>
  <c r="D19" i="1"/>
  <c r="D21" i="1" s="1"/>
  <c r="D66" i="1"/>
  <c r="I22" i="1"/>
  <c r="I45" i="1"/>
  <c r="I28" i="1"/>
  <c r="I116" i="1"/>
  <c r="E156" i="1"/>
  <c r="E162" i="1"/>
  <c r="E165" i="1" s="1"/>
  <c r="F156" i="1"/>
  <c r="F162" i="1"/>
  <c r="F165" i="1" s="1"/>
  <c r="F58" i="1"/>
  <c r="F49" i="1"/>
  <c r="F57" i="1" s="1"/>
  <c r="L162" i="1"/>
  <c r="L165" i="1" s="1"/>
  <c r="R28" i="1" l="1"/>
  <c r="R40" i="1" s="1"/>
  <c r="R41" i="1" s="1"/>
  <c r="N135" i="1"/>
  <c r="R116" i="1"/>
  <c r="H45" i="1"/>
  <c r="R45" i="1"/>
  <c r="R22" i="1"/>
  <c r="L49" i="1"/>
  <c r="L57" i="1" s="1"/>
  <c r="N40" i="1"/>
  <c r="N41" i="1" s="1"/>
  <c r="N49" i="1"/>
  <c r="N57" i="1" s="1"/>
  <c r="S60" i="1" s="1"/>
  <c r="E58" i="1"/>
  <c r="J59" i="1"/>
  <c r="M22" i="1"/>
  <c r="M45" i="1"/>
  <c r="K162" i="1"/>
  <c r="K165" i="1" s="1"/>
  <c r="K58" i="1"/>
  <c r="K49" i="1"/>
  <c r="K57" i="1" s="1"/>
  <c r="P60" i="1" s="1"/>
  <c r="O58" i="1"/>
  <c r="O49" i="1"/>
  <c r="O57" i="1" s="1"/>
  <c r="G162" i="1"/>
  <c r="G165" i="1" s="1"/>
  <c r="G156" i="1"/>
  <c r="G58" i="1"/>
  <c r="G49" i="1"/>
  <c r="G57" i="1" s="1"/>
  <c r="G136" i="1" s="1"/>
  <c r="I135" i="1"/>
  <c r="I156" i="1" s="1"/>
  <c r="M116" i="1"/>
  <c r="M28" i="1"/>
  <c r="M40" i="1" s="1"/>
  <c r="M41" i="1" s="1"/>
  <c r="I40" i="1"/>
  <c r="I41" i="1" s="1"/>
  <c r="I58" i="1"/>
  <c r="I49" i="1"/>
  <c r="I57" i="1" s="1"/>
  <c r="D116" i="1"/>
  <c r="D22" i="1"/>
  <c r="D45" i="1"/>
  <c r="D28" i="1"/>
  <c r="F59" i="1"/>
  <c r="E59" i="1"/>
  <c r="F136" i="1"/>
  <c r="E136" i="1"/>
  <c r="J60" i="1"/>
  <c r="O136" i="1" l="1"/>
  <c r="O60" i="1"/>
  <c r="L60" i="1"/>
  <c r="Q60" i="1"/>
  <c r="R135" i="1"/>
  <c r="N156" i="1"/>
  <c r="R49" i="1"/>
  <c r="R58" i="1"/>
  <c r="H49" i="1"/>
  <c r="H57" i="1" s="1"/>
  <c r="H60" i="1" s="1"/>
  <c r="M58" i="1"/>
  <c r="M135" i="1"/>
  <c r="L59" i="1"/>
  <c r="L136" i="1"/>
  <c r="N59" i="1"/>
  <c r="R57" i="1"/>
  <c r="M49" i="1"/>
  <c r="N162" i="1"/>
  <c r="N165" i="1" s="1"/>
  <c r="N167" i="1" s="1"/>
  <c r="N136" i="1"/>
  <c r="K60" i="1"/>
  <c r="K136" i="1"/>
  <c r="K59" i="1"/>
  <c r="N60" i="1"/>
  <c r="O59" i="1"/>
  <c r="G59" i="1"/>
  <c r="D135" i="1"/>
  <c r="H116" i="1"/>
  <c r="I59" i="1"/>
  <c r="M57" i="1"/>
  <c r="D40" i="1"/>
  <c r="D41" i="1" s="1"/>
  <c r="H28" i="1"/>
  <c r="H40" i="1" s="1"/>
  <c r="H41" i="1" s="1"/>
  <c r="D58" i="1"/>
  <c r="D49" i="1"/>
  <c r="D57" i="1" s="1"/>
  <c r="I60" i="1" s="1"/>
  <c r="I136" i="1"/>
  <c r="I162" i="1"/>
  <c r="I165" i="1" s="1"/>
  <c r="H59" i="1"/>
  <c r="R156" i="1" l="1"/>
  <c r="R59" i="1"/>
  <c r="R60" i="1"/>
  <c r="R162" i="1"/>
  <c r="R165" i="1" s="1"/>
  <c r="R136" i="1"/>
  <c r="M59" i="1"/>
  <c r="M60" i="1"/>
  <c r="M162" i="1"/>
  <c r="M165" i="1" s="1"/>
  <c r="M156" i="1"/>
  <c r="M136" i="1"/>
  <c r="D59" i="1"/>
  <c r="D136" i="1"/>
  <c r="D156" i="1"/>
  <c r="D158" i="1" s="1"/>
  <c r="H135" i="1"/>
  <c r="H136" i="1" s="1"/>
  <c r="E157" i="1" l="1"/>
  <c r="E158" i="1" s="1"/>
  <c r="D159" i="1"/>
  <c r="H162" i="1"/>
  <c r="H165" i="1" s="1"/>
  <c r="H156" i="1"/>
  <c r="H158" i="1" s="1"/>
  <c r="I157" i="1" s="1"/>
  <c r="M157" i="1" l="1"/>
  <c r="M158" i="1" s="1"/>
  <c r="N157" i="1" s="1"/>
  <c r="H159" i="1"/>
  <c r="I158" i="1"/>
  <c r="J157" i="1" s="1"/>
  <c r="F157" i="1"/>
  <c r="F158" i="1" s="1"/>
  <c r="E159" i="1"/>
  <c r="M159" i="1" l="1"/>
  <c r="R157" i="1"/>
  <c r="R158" i="1" s="1"/>
  <c r="F159" i="1"/>
  <c r="G157" i="1"/>
  <c r="G158" i="1" s="1"/>
  <c r="G159" i="1" s="1"/>
  <c r="I159" i="1"/>
  <c r="J158" i="1"/>
  <c r="K157" i="1" s="1"/>
  <c r="N158" i="1"/>
  <c r="O157" i="1" s="1"/>
  <c r="R159" i="1" l="1"/>
  <c r="S157" i="1"/>
  <c r="S158" i="1" s="1"/>
  <c r="S159" i="1" s="1"/>
  <c r="O158" i="1"/>
  <c r="N159" i="1"/>
  <c r="K158" i="1"/>
  <c r="L157" i="1" s="1"/>
  <c r="J159" i="1"/>
  <c r="O159" i="1" l="1"/>
  <c r="P157" i="1"/>
  <c r="P158" i="1" s="1"/>
  <c r="K159" i="1"/>
  <c r="L158" i="1"/>
  <c r="L159" i="1" s="1"/>
  <c r="Q229" i="1"/>
  <c r="R229" i="1" s="1"/>
  <c r="R218" i="1"/>
  <c r="P159" i="1" l="1"/>
  <c r="Q157" i="1"/>
  <c r="Q158" i="1" s="1"/>
  <c r="Q159" i="1" s="1"/>
</calcChain>
</file>

<file path=xl/sharedStrings.xml><?xml version="1.0" encoding="utf-8"?>
<sst xmlns="http://schemas.openxmlformats.org/spreadsheetml/2006/main" count="245" uniqueCount="217">
  <si>
    <t>Axon Enterprise, Inc. (NASDAQ:AXON)</t>
  </si>
  <si>
    <t>FY'2017</t>
  </si>
  <si>
    <t>FY'2018</t>
  </si>
  <si>
    <t>Q1'19</t>
  </si>
  <si>
    <t>Q2'19</t>
  </si>
  <si>
    <t>Q3'19</t>
  </si>
  <si>
    <t>Q4'19</t>
  </si>
  <si>
    <t>FY'2019</t>
  </si>
  <si>
    <t>Q1'20</t>
  </si>
  <si>
    <t>Q2'20</t>
  </si>
  <si>
    <t>Q3'20</t>
  </si>
  <si>
    <t>Q4'20</t>
  </si>
  <si>
    <t>FY'2020</t>
  </si>
  <si>
    <t>Q1'21</t>
  </si>
  <si>
    <t>Q2'21</t>
  </si>
  <si>
    <t>Q3'21</t>
  </si>
  <si>
    <t>Q4'21</t>
  </si>
  <si>
    <t>FY'2021</t>
  </si>
  <si>
    <t>Q1'22</t>
  </si>
  <si>
    <t>Consolidated Income Statement</t>
  </si>
  <si>
    <t>Net sales</t>
  </si>
  <si>
    <t xml:space="preserve">   Yoy Rev Growth %</t>
  </si>
  <si>
    <t>Cost of products sold and services delivered</t>
  </si>
  <si>
    <t>Gross margin</t>
  </si>
  <si>
    <t xml:space="preserve">   Gross margin %</t>
  </si>
  <si>
    <t>Operating expenses:</t>
  </si>
  <si>
    <t xml:space="preserve">   Sales, general and administrative</t>
  </si>
  <si>
    <t xml:space="preserve">   Research and development</t>
  </si>
  <si>
    <t>Total operating expenses</t>
  </si>
  <si>
    <t xml:space="preserve">   Sequential OpEx growth</t>
  </si>
  <si>
    <t>Sequential SG&amp;A growth</t>
  </si>
  <si>
    <t>Income (loss) from operations</t>
  </si>
  <si>
    <t xml:space="preserve">   Operating margin %</t>
  </si>
  <si>
    <t>Interest and other income (expense), net</t>
  </si>
  <si>
    <t>Income (loss) before provision for income taxes</t>
  </si>
  <si>
    <t>Provision for (benefit from) income taxes</t>
  </si>
  <si>
    <t>Net income (loss)</t>
  </si>
  <si>
    <t>Net income (loss) per diluted share</t>
  </si>
  <si>
    <t>Diluted shares outstanding</t>
  </si>
  <si>
    <t xml:space="preserve">   Sequential share growth</t>
  </si>
  <si>
    <t>Non-GAAP Metrics</t>
  </si>
  <si>
    <t>GAAP to Non-GAAP reconciliation</t>
  </si>
  <si>
    <t>GAAP net income (Loss)</t>
  </si>
  <si>
    <t>Non-GAAP adjustments</t>
  </si>
  <si>
    <t>Stock-based compensation expense</t>
  </si>
  <si>
    <t>Loss on disposal or abandonment of intangible assets</t>
  </si>
  <si>
    <t>Loss (gain) on disposal and impairment of property and equipment, net</t>
  </si>
  <si>
    <t>Costs related to FTC litigation</t>
  </si>
  <si>
    <t>Transaction costs related to strategic investments and acquisitions</t>
  </si>
  <si>
    <t>One time charge related to Tax Cuts and Jobs Act</t>
  </si>
  <si>
    <t>Income tax benefit of CEO stock option exercise</t>
  </si>
  <si>
    <t>Realized and unrealized (gains) losses on strategic investments and marketable securities</t>
  </si>
  <si>
    <t>Payroll taxes related to XSPP vesting and CEO Award option exercises</t>
  </si>
  <si>
    <t>Income tax effects</t>
  </si>
  <si>
    <t>Diluted share count used to calc non-GAAP EPS</t>
  </si>
  <si>
    <t>Adjusted EBITDA</t>
  </si>
  <si>
    <t>Net Income (loss)</t>
  </si>
  <si>
    <t>Depreciation and amortization</t>
  </si>
  <si>
    <t>Interest Expense (Income), Net</t>
  </si>
  <si>
    <t>Provision for income taxes</t>
  </si>
  <si>
    <t>Stock-based compensation (add back)</t>
  </si>
  <si>
    <t>Loss on disposal and abandoment of intangible assets</t>
  </si>
  <si>
    <t>Net income as a % of net sales</t>
  </si>
  <si>
    <t>Adjusted EBITDA margin %</t>
  </si>
  <si>
    <t>Incremental Adjusted EBITDA margin</t>
  </si>
  <si>
    <t>Composition of stock-comp</t>
  </si>
  <si>
    <t>COGS</t>
  </si>
  <si>
    <t xml:space="preserve">   Adjusted GM %</t>
  </si>
  <si>
    <t>SG&amp;A</t>
  </si>
  <si>
    <t>R&amp;D</t>
  </si>
  <si>
    <t xml:space="preserve">   Adjusted OM%</t>
  </si>
  <si>
    <t>Total stock comp</t>
  </si>
  <si>
    <t>Balance Sheet</t>
  </si>
  <si>
    <t>Consolidated Balance Sheet</t>
  </si>
  <si>
    <t>Assets</t>
  </si>
  <si>
    <t>Current assets:</t>
  </si>
  <si>
    <t xml:space="preserve">   Cash and cash equivalents</t>
  </si>
  <si>
    <t xml:space="preserve">   Short-term investments</t>
  </si>
  <si>
    <t xml:space="preserve">   Marketable securities</t>
  </si>
  <si>
    <t xml:space="preserve">   Accounts and notes receivable, net</t>
  </si>
  <si>
    <t xml:space="preserve">   Contract assets, net</t>
  </si>
  <si>
    <t xml:space="preserve">   Inventory, net</t>
  </si>
  <si>
    <t xml:space="preserve">   Prepaid expenses and other current assets</t>
  </si>
  <si>
    <t xml:space="preserve">     Total current assets</t>
  </si>
  <si>
    <t xml:space="preserve">   Property and equipment, net</t>
  </si>
  <si>
    <t xml:space="preserve">   Deferred tax assets, net</t>
  </si>
  <si>
    <t xml:space="preserve">   Intangible assets, net</t>
  </si>
  <si>
    <t xml:space="preserve">   Goodwill</t>
  </si>
  <si>
    <t xml:space="preserve">   Long-term investments</t>
  </si>
  <si>
    <t xml:space="preserve">   Long-term notes receivable, net</t>
  </si>
  <si>
    <t xml:space="preserve">   Long-term contract assets, net</t>
  </si>
  <si>
    <t xml:space="preserve">    Strategic investments</t>
  </si>
  <si>
    <t xml:space="preserve">   Other long-term assets</t>
  </si>
  <si>
    <t xml:space="preserve">     Total assets</t>
  </si>
  <si>
    <t>Liabilities and stockholder's equity</t>
  </si>
  <si>
    <t>Current liabilities:</t>
  </si>
  <si>
    <t xml:space="preserve">   Accounts payable</t>
  </si>
  <si>
    <t xml:space="preserve">   Accrued liabilities</t>
  </si>
  <si>
    <t xml:space="preserve">   Current portion of deferred revenue</t>
  </si>
  <si>
    <t xml:space="preserve">   Customer deposits</t>
  </si>
  <si>
    <t xml:space="preserve">   Current portion of business acquisition</t>
  </si>
  <si>
    <t xml:space="preserve">   Other current liabilities</t>
  </si>
  <si>
    <t xml:space="preserve">     Total current liabilities</t>
  </si>
  <si>
    <t xml:space="preserve">   Deferred revenue, net of current portion</t>
  </si>
  <si>
    <t xml:space="preserve">   Liability for unrecognized tax benefits</t>
  </si>
  <si>
    <t xml:space="preserve">   Long-term deferred compensation</t>
  </si>
  <si>
    <t xml:space="preserve">   Business acquisition contingent consideration</t>
  </si>
  <si>
    <t xml:space="preserve">   Deferred tax liabilities, net</t>
  </si>
  <si>
    <t xml:space="preserve">   Long-term lease liabilities </t>
  </si>
  <si>
    <t xml:space="preserve">   Other long-term liabilities</t>
  </si>
  <si>
    <t xml:space="preserve">     Total liabilities</t>
  </si>
  <si>
    <t>Total stock holders equity</t>
  </si>
  <si>
    <t>Total liabilities &amp; stockholders equity</t>
  </si>
  <si>
    <t>Consolidated Cash Flow Statement</t>
  </si>
  <si>
    <t>Operating cash flow:</t>
  </si>
  <si>
    <t>Adjustments to reconcile net inc to net op cash</t>
  </si>
  <si>
    <t xml:space="preserve">   Depreciation and amortization</t>
  </si>
  <si>
    <t xml:space="preserve">   Purchase accounting adjustments to goodwill</t>
  </si>
  <si>
    <t xml:space="preserve">   (Gain) Loss on disposal and impairment of property and equipment, net</t>
  </si>
  <si>
    <t xml:space="preserve">   Loss on disposal and abandonment of intangible assets</t>
  </si>
  <si>
    <t xml:space="preserve">   Realized and unrealized (gains) losses on strategic investments and marketable securities</t>
  </si>
  <si>
    <t xml:space="preserve">   Stock-based compensation</t>
  </si>
  <si>
    <t xml:space="preserve">   Deferred income taxes</t>
  </si>
  <si>
    <t xml:space="preserve">   Unrecognized tax benefits</t>
  </si>
  <si>
    <t xml:space="preserve">   Bond amortization</t>
  </si>
  <si>
    <t xml:space="preserve">   Noncash lease expense</t>
  </si>
  <si>
    <t xml:space="preserve">  Provision for expected credit losses</t>
  </si>
  <si>
    <t>Change in assets and liabilities</t>
  </si>
  <si>
    <t xml:space="preserve">   Accounts and notes receivable and contract assets</t>
  </si>
  <si>
    <t xml:space="preserve">   Inventory</t>
  </si>
  <si>
    <t xml:space="preserve">   Prepaid expenses and other assets</t>
  </si>
  <si>
    <t xml:space="preserve">   Accounts payable, accrued and other liabilities</t>
  </si>
  <si>
    <t xml:space="preserve">   Deferred revenue</t>
  </si>
  <si>
    <t>Net cash provided by (used in) operating activities</t>
  </si>
  <si>
    <t xml:space="preserve">     Cash flow from ops as a % of Adj EBITDA</t>
  </si>
  <si>
    <t>Investing cash flow:</t>
  </si>
  <si>
    <t xml:space="preserve">   Purchases of investments</t>
  </si>
  <si>
    <t xml:space="preserve">   Proceeds from call / maturity of investments</t>
  </si>
  <si>
    <t xml:space="preserve">   Proceeds from sale of strategic investments</t>
  </si>
  <si>
    <t xml:space="preserve">   Purchases of property and equipment</t>
  </si>
  <si>
    <t xml:space="preserve">   Proceeds from disposal of property and equipment</t>
  </si>
  <si>
    <t xml:space="preserve">   Purchases of intangible assets</t>
  </si>
  <si>
    <t xml:space="preserve">   Purchases of strategic investments</t>
  </si>
  <si>
    <t xml:space="preserve">   Business acquisitions, net of cash acquired</t>
  </si>
  <si>
    <t>Net cash provided by (used in) investing activities</t>
  </si>
  <si>
    <t>Financing cash flow</t>
  </si>
  <si>
    <t xml:space="preserve">   Net proceeds from equity offering</t>
  </si>
  <si>
    <t xml:space="preserve">   Proceeds from options exercised</t>
  </si>
  <si>
    <t xml:space="preserve">   Income and payroll tax payments for net-settled stock awards</t>
  </si>
  <si>
    <t xml:space="preserve">   Payment of contingent consideration for business acquisition</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</si>
  <si>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</si>
  <si>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</si>
  <si>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</si>
  <si>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</si>
  <si>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</si>
  <si>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Check (when doesn't sum, equals restricted cash)</t>
  </si>
  <si>
    <t>New FCF Calc</t>
  </si>
  <si>
    <t>Net cash provided by operating activities</t>
  </si>
  <si>
    <t>Purchases of property and equipment</t>
  </si>
  <si>
    <t>Purchases of intangible assets</t>
  </si>
  <si>
    <t xml:space="preserve">Net campus investment </t>
  </si>
  <si>
    <t>Revenue by geography</t>
  </si>
  <si>
    <t>United States</t>
  </si>
  <si>
    <t>Other countries</t>
  </si>
  <si>
    <t>Total</t>
  </si>
  <si>
    <t>Forward-Looking Performance Indicators</t>
  </si>
  <si>
    <t>% of TASER on subscription</t>
  </si>
  <si>
    <t>Reportable segments</t>
  </si>
  <si>
    <t>TASER</t>
  </si>
  <si>
    <t>Product sales</t>
  </si>
  <si>
    <t>Service revenue</t>
  </si>
  <si>
    <t>Cost of products sold</t>
  </si>
  <si>
    <t>Cost of services delivered</t>
  </si>
  <si>
    <t>Gross margin % overall</t>
  </si>
  <si>
    <t>Gross margin % product</t>
  </si>
  <si>
    <t>Gross margin % service</t>
  </si>
  <si>
    <t>Software &amp; Sensors</t>
  </si>
  <si>
    <t>Product sales (Sensors and other)</t>
  </si>
  <si>
    <t>Service revenue (Axon Cloud)</t>
  </si>
  <si>
    <t>Gross margin overall %</t>
  </si>
  <si>
    <t>Revenue by product line</t>
  </si>
  <si>
    <t>TASER 7</t>
  </si>
  <si>
    <t>TASER X26P</t>
  </si>
  <si>
    <t>TASER X2</t>
  </si>
  <si>
    <t>TASER Consumer devices</t>
  </si>
  <si>
    <t>Cartridges</t>
  </si>
  <si>
    <t>Axon Evidence and cloud services</t>
  </si>
  <si>
    <t>Extended warranties</t>
  </si>
  <si>
    <t>Other</t>
  </si>
  <si>
    <t>Total TASER Weapons</t>
  </si>
  <si>
    <t>Axon Body</t>
  </si>
  <si>
    <t>Axon Flex</t>
  </si>
  <si>
    <t>Axon Fleet</t>
  </si>
  <si>
    <t>Axon Dock</t>
  </si>
  <si>
    <t>TASER Cam</t>
  </si>
  <si>
    <t>Total Software &amp; Sensors Segment</t>
  </si>
  <si>
    <t>Net Sales</t>
  </si>
  <si>
    <t>Units</t>
  </si>
  <si>
    <t xml:space="preserve">Notes: </t>
  </si>
  <si>
    <t>(1) Non-GAAP Net Income (Most comparable GAAP Measure: Net income) - Net income excluding the costs of non-cash stock-based compensation and excluding any net gain/loss/write-down/disposal/abandonment of property, equipment and intangible assets; loss on impairment; costs related to strategic investments and business acquisitions; costs related to the FTC litigation and pre-tax certain other items (listed below). The Company tax-effects non-GAAP adjustments using the blended statutory federal and state tax rates for each period presented.</t>
  </si>
  <si>
    <t>(2) Non-GAAP Diluted Earnings Per Share (Most comparable GAAP Measure: Earnings Per share) - Measure of Company's Non-GAAP Net Income divided by the weighted average number of diluted common shares outstanding during the period presented.</t>
  </si>
  <si>
    <t>(3) EBITDA (Most comparable GAAP Measure: Net income) - Earnings before interest expense, investment interest income, income taxes, depreciation and amortization.</t>
  </si>
  <si>
    <t>(4) Adjusted EBITDA (Most comparable GAAP Measure: Net income) - Earnings before interest expense, investment interest income, income taxes, depreciation, amortization, non-cash stock-based compensation expense and pre-tax certain other items (identified and listed below in the reconciliation).</t>
  </si>
  <si>
    <t>(5) Free Cash Flow (Most comparable GAAP Measure: Cash flow from operating activities) - cash flows provided by operating activities minus purchases of property and equipment and intangible assets.</t>
  </si>
  <si>
    <t>(6) Adjusted Free Cash Flow (Most comparable GAAP Measure: Cash flow from operating activities) - cash flows provided by operating activities minus purchases of property and equipment and intangible assets, excluding the net impact of investments in our new Scottsdale, Ariz. campus.</t>
  </si>
  <si>
    <t>(7) Monthly recurring license, integration, warranty, and storage revenue annualized.</t>
  </si>
  <si>
    <t>(8) Total company future contracted revenue includes both recognized contract liabilities as well as amounts that will be invoiced and recognized in future periods. The remaining performance obligations are limited only to arrangements that meet the definition of a contract under Topic 606. We expect to recognize between 15% - 20% of this balance over the next twelve months, and generally expect the remainder to be recognized over the following five to seven years, subject to risks related to delayed deployments, budget appropriation or other contract cancellation clauses.</t>
  </si>
  <si>
    <t>(9) Net revenue retention: Dollar-based net revenue retention is an important metric to measure our ability to retain and expand our relationships with existing customers. We calculate it as the software and camera warranty subscription and support revenue from a base set of agency customers from which we generated Axon Cloud subscription revenue in the last month of a quarter divided by the software and camera warranty subscription and support revenue from the year-ago month of that same customer base.</t>
  </si>
  <si>
    <r>
      <t xml:space="preserve">Non-GAAP net income (loss) </t>
    </r>
    <r>
      <rPr>
        <vertAlign val="superscript"/>
        <sz val="11"/>
        <color theme="1"/>
        <rFont val="Calibri (Body)"/>
      </rPr>
      <t>(1)</t>
    </r>
  </si>
  <si>
    <r>
      <t xml:space="preserve">Non-GAAP EPS </t>
    </r>
    <r>
      <rPr>
        <vertAlign val="superscript"/>
        <sz val="11"/>
        <color theme="1"/>
        <rFont val="Calibri (Body)"/>
      </rPr>
      <t>(2)</t>
    </r>
  </si>
  <si>
    <r>
      <t xml:space="preserve">EBITDA </t>
    </r>
    <r>
      <rPr>
        <vertAlign val="superscript"/>
        <sz val="11"/>
        <color theme="1"/>
        <rFont val="Calibri (Body)"/>
      </rPr>
      <t>(3)</t>
    </r>
  </si>
  <si>
    <r>
      <t xml:space="preserve">Adjusted EBITDA </t>
    </r>
    <r>
      <rPr>
        <vertAlign val="superscript"/>
        <sz val="11"/>
        <color theme="1"/>
        <rFont val="Calibri (Body)"/>
      </rPr>
      <t>(4)</t>
    </r>
  </si>
  <si>
    <r>
      <t xml:space="preserve">Free cash flow, a non-GAAP measure </t>
    </r>
    <r>
      <rPr>
        <vertAlign val="superscript"/>
        <sz val="11"/>
        <color theme="1"/>
        <rFont val="Calibri (Body)"/>
      </rPr>
      <t>(5)</t>
    </r>
  </si>
  <si>
    <r>
      <t xml:space="preserve">Adjusted free cash flow, a non-GAAP measure </t>
    </r>
    <r>
      <rPr>
        <vertAlign val="superscript"/>
        <sz val="11"/>
        <color theme="1"/>
        <rFont val="Calibri (Body)"/>
      </rPr>
      <t>(6)</t>
    </r>
  </si>
  <si>
    <r>
      <t xml:space="preserve">Annual recurring revenue </t>
    </r>
    <r>
      <rPr>
        <vertAlign val="superscript"/>
        <sz val="11"/>
        <color theme="1"/>
        <rFont val="Calibri (Body)"/>
      </rPr>
      <t>(7)</t>
    </r>
  </si>
  <si>
    <r>
      <t>Total company future contracted revenue</t>
    </r>
    <r>
      <rPr>
        <vertAlign val="superscript"/>
        <sz val="11"/>
        <color theme="1"/>
        <rFont val="Calibri (Body)"/>
      </rPr>
      <t xml:space="preserve"> (8)</t>
    </r>
  </si>
  <si>
    <r>
      <t xml:space="preserve"> Net Revenue Retention </t>
    </r>
    <r>
      <rPr>
        <vertAlign val="superscript"/>
        <sz val="11"/>
        <color theme="1"/>
        <rFont val="Calibri (Body)"/>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</si>
</sst>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6" x14ac:knownFonts="1">
    <font>
      <sz val="11"/>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i/>
      <sz val="11"/>
      <color theme="2" tint="-0.499984740745262"/>
      <name val="Calibri"/>
      <family val="2"/>
      <scheme val="minor"/>
    </font>
    <font>
      <b/>
      <u/>
      <sz val="11"/>
      <color theme="1"/>
      <name val="Calibri"/>
      <family val="2"/>
      <scheme val="minor"/>
    </font>
    <font>
      <i/>
      <sz val="11"/>
      <color theme="1" tint="0.499984740745262"/>
      <name val="Calibri"/>
      <family val="2"/>
      <scheme val="minor"/>
    </font>
    <font>
      <i/>
      <sz val="11"/>
      <color theme="0" tint="-0.499984740745262"/>
      <name val="Calibri"/>
      <family val="2"/>
      <scheme val="minor"/>
    </font>
    <font>
      <sz val="11"/>
      <name val="Calibri"/>
      <family val="2"/>
      <scheme val="minor"/>
    </font>
    <font>
      <sz val="11"/>
      <color rgb="FFC00000"/>
      <name val="Calibri"/>
      <family val="2"/>
      <scheme val="minor"/>
    </font>
    <font>
      <i/>
      <sz val="11"/>
      <name val="Calibri"/>
      <family val="2"/>
      <scheme val="minor"/>
    </font>
    <font>
      <i/>
      <sz val="11"/>
      <color rgb="FFC00000"/>
      <name val="Calibri"/>
      <family val="2"/>
      <scheme val="minor"/>
    </font>
    <font>
      <sz val="12"/>
      <color theme="1"/>
      <name val="Calibri"/>
      <family val="2"/>
      <scheme val="minor"/>
    </font>
    <font>
      <b/>
      <sz val="11"/>
      <name val="Calibri"/>
      <family val="2"/>
      <scheme val="minor"/>
    </font>
    <font>
      <sz val="11"/>
      <color rgb="FFFF0000"/>
      <name val="Calibri"/>
      <family val="2"/>
      <scheme val="minor"/>
    </font>
    <font>
      <i/>
      <sz val="11"/>
      <color rgb="FFFF0000"/>
      <name val="Calibri"/>
      <family val="2"/>
      <scheme val="minor"/>
    </font>
    <font>
      <i/>
      <sz val="11"/>
      <color theme="1" tint="0.249977111117893"/>
      <name val="Calibri"/>
      <family val="2"/>
      <scheme val="minor"/>
    </font>
    <font>
      <b/>
      <i/>
      <sz val="11"/>
      <color rgb="FF0070C0"/>
      <name val="Calibri"/>
      <family val="2"/>
      <scheme val="minor"/>
    </font>
    <font>
      <sz val="11"/>
      <color theme="0"/>
      <name val="Calibri"/>
      <family val="2"/>
      <scheme val="minor"/>
    </font>
    <font>
      <b/>
      <sz val="16"/>
      <color theme="0"/>
      <name val="Calibri"/>
      <family val="2"/>
      <scheme val="minor"/>
    </font>
    <font>
      <i/>
      <sz val="16"/>
      <color theme="0"/>
      <name val="Calibri"/>
      <family val="2"/>
      <scheme val="minor"/>
    </font>
    <font>
      <sz val="22"/>
      <color theme="0"/>
      <name val="Calibri"/>
      <family val="2"/>
      <scheme val="minor"/>
    </font>
    <font>
      <sz val="16"/>
      <color theme="0"/>
      <name val="Calibri"/>
      <family val="2"/>
      <scheme val="minor"/>
    </font>
    <font>
      <sz val="11"/>
      <color theme="2"/>
      <name val="Calibri"/>
      <family val="2"/>
      <scheme val="minor"/>
    </font>
    <font>
      <sz val="9"/>
      <color theme="1"/>
      <name val="Segoe UI"/>
      <family val="2"/>
    </font>
    <font>
      <sz val="8"/>
      <name val="Calibri"/>
      <family val="2"/>
      <scheme val="minor"/>
    </font>
    <font>
      <b/>
      <sz val="16"/>
      <color theme="2"/>
      <name val="Calibri"/>
      <family val="2"/>
      <scheme val="minor"/>
    </font>
    <font>
      <i/>
      <sz val="11"/>
      <color theme="2"/>
      <name val="Calibri"/>
      <family val="2"/>
      <scheme val="minor"/>
    </font>
    <font>
      <sz val="16"/>
      <color theme="2"/>
      <name val="Calibri"/>
      <family val="2"/>
      <scheme val="minor"/>
    </font>
    <font>
      <sz val="22"/>
      <color theme="2"/>
      <name val="Calibri"/>
      <family val="2"/>
      <scheme val="minor"/>
    </font>
    <font>
      <i/>
      <sz val="16"/>
      <color theme="2"/>
      <name val="Calibri"/>
      <family val="2"/>
      <scheme val="minor"/>
    </font>
    <font>
      <sz val="11"/>
      <color rgb="FF333333"/>
      <name val="Calibri"/>
      <family val="2"/>
      <scheme val="minor"/>
    </font>
    <font>
      <sz val="11"/>
      <color rgb="FFFFCCFF"/>
      <name val="Calibri"/>
      <family val="2"/>
      <scheme val="minor"/>
    </font>
    <font>
      <i/>
      <sz val="11"/>
      <color rgb="FFFFCCFF"/>
      <name val="Calibri"/>
      <family val="2"/>
      <scheme val="minor"/>
    </font>
    <font>
      <vertAlign val="superscript"/>
      <sz val="11"/>
      <color theme="1"/>
      <name val="Calibri (Body)"/>
    </font>
    <font>
      <i/>
      <sz val="11"/>
      <color rgb="FF333333"/>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lightVertical">
        <fgColor theme="0"/>
        <bgColor theme="0" tint="-0.14996795556505021"/>
      </patternFill>
    </fill>
    <fill>
      <patternFill patternType="solid">
        <fgColor rgb="FFFFFFFF"/>
        <bgColor indexed="64"/>
      </patternFill>
    </fill>
    <fill>
      <patternFill patternType="lightVertical">
        <fgColor theme="0"/>
        <bgColor theme="0" tint="-4.9989318521683403E-2"/>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style="double">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double">
        <color indexed="64"/>
      </bottom>
      <diagonal/>
    </border>
    <border>
      <left style="thin">
        <color theme="0"/>
      </left>
      <right style="thin">
        <color theme="0"/>
      </right>
      <top style="double">
        <color indexed="64"/>
      </top>
      <bottom style="double">
        <color indexed="64"/>
      </bottom>
      <diagonal/>
    </border>
    <border>
      <left style="thin">
        <color theme="0"/>
      </left>
      <right style="thin">
        <color theme="0"/>
      </right>
      <top style="thin">
        <color indexed="64"/>
      </top>
      <bottom style="medium">
        <color indexed="64"/>
      </bottom>
      <diagonal/>
    </border>
    <border>
      <left style="thin">
        <color theme="0"/>
      </left>
      <right style="thin">
        <color theme="0"/>
      </right>
      <top style="thin">
        <color indexed="64"/>
      </top>
      <bottom style="thin">
        <color indexed="64"/>
      </bottom>
      <diagonal/>
    </border>
    <border>
      <left/>
      <right/>
      <top style="thin">
        <color indexed="64"/>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diagonal/>
    </border>
    <border>
      <left/>
      <right style="thin">
        <color theme="0"/>
      </right>
      <top/>
      <bottom style="thin">
        <color indexed="64"/>
      </bottom>
      <diagonal/>
    </border>
    <border>
      <left style="medium">
        <color indexed="64"/>
      </left>
      <right/>
      <top style="medium">
        <color indexed="64"/>
      </top>
      <bottom/>
      <diagonal/>
    </border>
    <border>
      <left style="thin">
        <color theme="0"/>
      </left>
      <right style="thin">
        <color theme="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theme="0"/>
      </right>
      <top/>
      <bottom style="thin">
        <color indexed="64"/>
      </bottom>
      <diagonal/>
    </border>
    <border>
      <left style="medium">
        <color indexed="64"/>
      </left>
      <right/>
      <top/>
      <bottom style="medium">
        <color indexed="64"/>
      </bottom>
      <diagonal/>
    </border>
    <border>
      <left style="thin">
        <color theme="0"/>
      </left>
      <right style="thin">
        <color theme="0"/>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12" fillId="0" borderId="0"/>
  </cellStyleXfs>
  <cellXfs count="323">
    <xf numFmtId="0" fontId="0" fillId="0" borderId="0" xfId="0"/>
    <xf numFmtId="0" fontId="0" fillId="2" borderId="0" xfId="0" applyFill="1"/>
    <xf numFmtId="164" fontId="0" fillId="2" borderId="0" xfId="1" applyNumberFormat="1" applyFont="1" applyFill="1"/>
    <xf numFmtId="164" fontId="0" fillId="2" borderId="1" xfId="1" applyNumberFormat="1" applyFont="1" applyFill="1" applyBorder="1"/>
    <xf numFmtId="9" fontId="4" fillId="2" borderId="0" xfId="2" applyFont="1" applyFill="1"/>
    <xf numFmtId="164" fontId="0" fillId="2" borderId="0" xfId="1" applyNumberFormat="1" applyFont="1" applyFill="1" applyBorder="1"/>
    <xf numFmtId="164" fontId="0" fillId="2" borderId="2" xfId="1" applyNumberFormat="1" applyFont="1" applyFill="1" applyBorder="1"/>
    <xf numFmtId="43" fontId="0" fillId="2" borderId="0" xfId="1" applyFont="1" applyFill="1"/>
    <xf numFmtId="164" fontId="2" fillId="2" borderId="0" xfId="1" applyNumberFormat="1" applyFont="1" applyFill="1"/>
    <xf numFmtId="0" fontId="5" fillId="2" borderId="0" xfId="0" applyFont="1" applyFill="1"/>
    <xf numFmtId="0" fontId="0" fillId="2" borderId="2" xfId="0" applyFill="1" applyBorder="1"/>
    <xf numFmtId="164" fontId="3" fillId="2" borderId="0" xfId="1" applyNumberFormat="1" applyFont="1" applyFill="1"/>
    <xf numFmtId="164" fontId="0" fillId="2" borderId="3" xfId="1" applyNumberFormat="1" applyFont="1" applyFill="1" applyBorder="1"/>
    <xf numFmtId="165" fontId="6" fillId="2" borderId="0" xfId="2" applyNumberFormat="1" applyFont="1" applyFill="1"/>
    <xf numFmtId="0" fontId="6" fillId="2" borderId="0" xfId="0" applyFont="1" applyFill="1"/>
    <xf numFmtId="9" fontId="6" fillId="2" borderId="0" xfId="2" applyFont="1" applyFill="1"/>
    <xf numFmtId="165" fontId="4" fillId="2" borderId="0" xfId="2" applyNumberFormat="1" applyFont="1" applyFill="1"/>
    <xf numFmtId="9" fontId="7" fillId="2" borderId="0" xfId="2" applyFont="1" applyFill="1" applyBorder="1"/>
    <xf numFmtId="164" fontId="3" fillId="2" borderId="0" xfId="1" applyNumberFormat="1" applyFont="1" applyFill="1" applyBorder="1"/>
    <xf numFmtId="0" fontId="9" fillId="2" borderId="0" xfId="0" applyFont="1" applyFill="1"/>
    <xf numFmtId="164" fontId="2" fillId="2" borderId="0" xfId="1" applyNumberFormat="1" applyFont="1" applyFill="1" applyBorder="1"/>
    <xf numFmtId="164" fontId="2" fillId="2" borderId="1" xfId="1" applyNumberFormat="1" applyFont="1" applyFill="1" applyBorder="1"/>
    <xf numFmtId="9" fontId="7" fillId="2" borderId="0" xfId="2" applyFont="1" applyFill="1"/>
    <xf numFmtId="164" fontId="0" fillId="3" borderId="1" xfId="1" applyNumberFormat="1" applyFont="1" applyFill="1" applyBorder="1"/>
    <xf numFmtId="164" fontId="0" fillId="3" borderId="0" xfId="1" applyNumberFormat="1" applyFont="1" applyFill="1" applyBorder="1"/>
    <xf numFmtId="164" fontId="0" fillId="3" borderId="3" xfId="1" applyNumberFormat="1" applyFont="1" applyFill="1" applyBorder="1"/>
    <xf numFmtId="9" fontId="3" fillId="3" borderId="0" xfId="2" applyFont="1" applyFill="1" applyBorder="1"/>
    <xf numFmtId="0" fontId="8" fillId="2" borderId="0" xfId="0" applyFont="1" applyFill="1"/>
    <xf numFmtId="164" fontId="0" fillId="2" borderId="4" xfId="1" applyNumberFormat="1" applyFont="1" applyFill="1" applyBorder="1"/>
    <xf numFmtId="0" fontId="14" fillId="2" borderId="0" xfId="0" applyFont="1" applyFill="1"/>
    <xf numFmtId="0" fontId="0" fillId="2" borderId="5" xfId="0" applyFill="1" applyBorder="1"/>
    <xf numFmtId="164" fontId="8" fillId="2" borderId="1" xfId="1" applyNumberFormat="1" applyFont="1" applyFill="1" applyBorder="1"/>
    <xf numFmtId="164" fontId="8" fillId="2" borderId="3" xfId="1" applyNumberFormat="1" applyFont="1" applyFill="1" applyBorder="1"/>
    <xf numFmtId="164" fontId="8" fillId="2" borderId="0" xfId="1" applyNumberFormat="1" applyFont="1" applyFill="1" applyBorder="1"/>
    <xf numFmtId="164" fontId="8" fillId="3" borderId="0" xfId="1" applyNumberFormat="1" applyFont="1" applyFill="1" applyBorder="1"/>
    <xf numFmtId="164" fontId="8" fillId="3" borderId="1" xfId="1" applyNumberFormat="1" applyFont="1" applyFill="1" applyBorder="1"/>
    <xf numFmtId="164" fontId="2" fillId="2" borderId="3" xfId="1" applyNumberFormat="1" applyFont="1" applyFill="1" applyBorder="1"/>
    <xf numFmtId="164" fontId="14" fillId="2" borderId="1" xfId="1" applyNumberFormat="1" applyFont="1" applyFill="1" applyBorder="1"/>
    <xf numFmtId="0" fontId="14" fillId="3" borderId="0" xfId="0" applyFont="1" applyFill="1"/>
    <xf numFmtId="0" fontId="8" fillId="3" borderId="0" xfId="0" applyFont="1" applyFill="1"/>
    <xf numFmtId="164" fontId="8" fillId="3" borderId="3" xfId="1" applyNumberFormat="1" applyFont="1" applyFill="1" applyBorder="1"/>
    <xf numFmtId="164" fontId="7" fillId="2" borderId="0" xfId="1" applyNumberFormat="1" applyFont="1" applyFill="1"/>
    <xf numFmtId="164" fontId="16" fillId="5" borderId="0" xfId="1" applyNumberFormat="1" applyFont="1" applyFill="1"/>
    <xf numFmtId="0" fontId="18" fillId="4" borderId="0" xfId="0" applyFont="1" applyFill="1"/>
    <xf numFmtId="0" fontId="19" fillId="4" borderId="0" xfId="0" applyFont="1" applyFill="1"/>
    <xf numFmtId="0" fontId="20" fillId="4" borderId="0" xfId="0" applyFont="1" applyFill="1"/>
    <xf numFmtId="0" fontId="21" fillId="4" borderId="0" xfId="0" applyFont="1" applyFill="1"/>
    <xf numFmtId="0" fontId="22" fillId="4" borderId="0" xfId="0" applyFont="1" applyFill="1"/>
    <xf numFmtId="165" fontId="4" fillId="2" borderId="1" xfId="2" applyNumberFormat="1" applyFont="1" applyFill="1" applyBorder="1" applyAlignment="1">
      <alignment horizontal="right"/>
    </xf>
    <xf numFmtId="165" fontId="4" fillId="3" borderId="1" xfId="2" applyNumberFormat="1" applyFont="1" applyFill="1" applyBorder="1" applyAlignment="1">
      <alignment horizontal="right"/>
    </xf>
    <xf numFmtId="165" fontId="4" fillId="2" borderId="0" xfId="2" applyNumberFormat="1" applyFont="1" applyFill="1" applyAlignment="1">
      <alignment horizontal="right"/>
    </xf>
    <xf numFmtId="164" fontId="14" fillId="3" borderId="0" xfId="1" applyNumberFormat="1" applyFont="1" applyFill="1" applyBorder="1"/>
    <xf numFmtId="0" fontId="23" fillId="2" borderId="0" xfId="0" applyFont="1" applyFill="1"/>
    <xf numFmtId="164" fontId="2" fillId="3" borderId="1" xfId="1" applyNumberFormat="1" applyFont="1" applyFill="1" applyBorder="1"/>
    <xf numFmtId="164" fontId="2" fillId="3" borderId="3" xfId="1" applyNumberFormat="1" applyFont="1" applyFill="1" applyBorder="1"/>
    <xf numFmtId="0" fontId="19" fillId="4" borderId="6" xfId="0" applyFont="1" applyFill="1" applyBorder="1"/>
    <xf numFmtId="0" fontId="19" fillId="4" borderId="6" xfId="0" applyFont="1" applyFill="1" applyBorder="1" applyAlignment="1">
      <alignment horizontal="center"/>
    </xf>
    <xf numFmtId="164" fontId="0" fillId="3" borderId="6" xfId="1" applyNumberFormat="1" applyFont="1" applyFill="1" applyBorder="1"/>
    <xf numFmtId="10" fontId="4" fillId="3" borderId="6" xfId="2" applyNumberFormat="1" applyFont="1" applyFill="1" applyBorder="1"/>
    <xf numFmtId="164" fontId="0" fillId="3" borderId="7" xfId="1" applyNumberFormat="1" applyFont="1" applyFill="1" applyBorder="1"/>
    <xf numFmtId="164" fontId="8" fillId="3" borderId="6" xfId="1" applyNumberFormat="1" applyFont="1" applyFill="1" applyBorder="1"/>
    <xf numFmtId="165" fontId="4" fillId="3" borderId="6" xfId="2" applyNumberFormat="1" applyFont="1" applyFill="1" applyBorder="1"/>
    <xf numFmtId="164" fontId="3" fillId="3" borderId="6" xfId="1" applyNumberFormat="1" applyFont="1" applyFill="1" applyBorder="1"/>
    <xf numFmtId="9" fontId="3" fillId="3" borderId="6" xfId="2" applyFont="1" applyFill="1" applyBorder="1"/>
    <xf numFmtId="43" fontId="0" fillId="3" borderId="6" xfId="1" applyFont="1" applyFill="1" applyBorder="1"/>
    <xf numFmtId="9" fontId="6" fillId="3" borderId="6" xfId="2" applyFont="1" applyFill="1" applyBorder="1"/>
    <xf numFmtId="165" fontId="6" fillId="3" borderId="6" xfId="2" applyNumberFormat="1" applyFont="1" applyFill="1" applyBorder="1"/>
    <xf numFmtId="0" fontId="0" fillId="3" borderId="6" xfId="0" applyFill="1" applyBorder="1"/>
    <xf numFmtId="10" fontId="19" fillId="4" borderId="6" xfId="2" applyNumberFormat="1" applyFont="1" applyFill="1" applyBorder="1"/>
    <xf numFmtId="164" fontId="0" fillId="3" borderId="6" xfId="0" applyNumberFormat="1" applyFill="1" applyBorder="1"/>
    <xf numFmtId="9" fontId="7" fillId="3" borderId="6" xfId="2" applyFont="1" applyFill="1" applyBorder="1"/>
    <xf numFmtId="165" fontId="4" fillId="3" borderId="6" xfId="2" applyNumberFormat="1" applyFont="1" applyFill="1" applyBorder="1" applyAlignment="1">
      <alignment horizontal="right"/>
    </xf>
    <xf numFmtId="165" fontId="4" fillId="3" borderId="7" xfId="2" applyNumberFormat="1" applyFont="1" applyFill="1" applyBorder="1" applyAlignment="1">
      <alignment horizontal="right"/>
    </xf>
    <xf numFmtId="165" fontId="7" fillId="3" borderId="6" xfId="2" applyNumberFormat="1" applyFont="1" applyFill="1" applyBorder="1"/>
    <xf numFmtId="0" fontId="22" fillId="4" borderId="6" xfId="0" applyFont="1" applyFill="1" applyBorder="1"/>
    <xf numFmtId="164" fontId="2" fillId="3" borderId="6" xfId="1" applyNumberFormat="1" applyFont="1" applyFill="1" applyBorder="1"/>
    <xf numFmtId="164" fontId="8" fillId="3" borderId="7" xfId="1" applyNumberFormat="1" applyFont="1" applyFill="1" applyBorder="1"/>
    <xf numFmtId="0" fontId="21" fillId="4" borderId="6" xfId="0" applyFont="1" applyFill="1" applyBorder="1"/>
    <xf numFmtId="9" fontId="20" fillId="4" borderId="6" xfId="2" applyFont="1" applyFill="1" applyBorder="1"/>
    <xf numFmtId="0" fontId="18" fillId="4" borderId="6" xfId="0" applyFont="1" applyFill="1" applyBorder="1"/>
    <xf numFmtId="164" fontId="0" fillId="3" borderId="11" xfId="1" applyNumberFormat="1" applyFont="1" applyFill="1" applyBorder="1"/>
    <xf numFmtId="164" fontId="2" fillId="3" borderId="7" xfId="1" applyNumberFormat="1" applyFont="1" applyFill="1" applyBorder="1"/>
    <xf numFmtId="164" fontId="2" fillId="3" borderId="11" xfId="1" applyNumberFormat="1" applyFont="1" applyFill="1" applyBorder="1"/>
    <xf numFmtId="164" fontId="8" fillId="2" borderId="12" xfId="1" applyNumberFormat="1" applyFont="1" applyFill="1" applyBorder="1"/>
    <xf numFmtId="164" fontId="2" fillId="2" borderId="6" xfId="1" applyNumberFormat="1" applyFont="1" applyFill="1" applyBorder="1"/>
    <xf numFmtId="0" fontId="0" fillId="2" borderId="6" xfId="0" applyFill="1" applyBorder="1"/>
    <xf numFmtId="0" fontId="23" fillId="2" borderId="6" xfId="0" applyFont="1" applyFill="1" applyBorder="1"/>
    <xf numFmtId="164" fontId="10" fillId="2" borderId="0" xfId="1" applyNumberFormat="1" applyFont="1" applyFill="1" applyBorder="1"/>
    <xf numFmtId="165" fontId="4" fillId="2" borderId="0" xfId="2" applyNumberFormat="1" applyFont="1" applyFill="1" applyBorder="1"/>
    <xf numFmtId="43" fontId="0" fillId="2" borderId="0" xfId="1" applyFont="1" applyFill="1" applyBorder="1"/>
    <xf numFmtId="165" fontId="4" fillId="2" borderId="0" xfId="2" applyNumberFormat="1" applyFont="1" applyFill="1" applyBorder="1" applyAlignment="1">
      <alignment horizontal="right"/>
    </xf>
    <xf numFmtId="164" fontId="16" fillId="5" borderId="0" xfId="1" applyNumberFormat="1" applyFont="1" applyFill="1" applyBorder="1"/>
    <xf numFmtId="165" fontId="6" fillId="2" borderId="0" xfId="2" applyNumberFormat="1" applyFont="1" applyFill="1" applyBorder="1"/>
    <xf numFmtId="9" fontId="23" fillId="2" borderId="0" xfId="2" applyFont="1" applyFill="1" applyBorder="1" applyAlignment="1">
      <alignment horizontal="center"/>
    </xf>
    <xf numFmtId="9" fontId="23" fillId="2" borderId="0" xfId="2" applyFont="1" applyFill="1" applyBorder="1"/>
    <xf numFmtId="10" fontId="4" fillId="3" borderId="0" xfId="2" applyNumberFormat="1" applyFont="1" applyFill="1" applyBorder="1"/>
    <xf numFmtId="165" fontId="4" fillId="3" borderId="0" xfId="2" applyNumberFormat="1" applyFont="1" applyFill="1" applyBorder="1"/>
    <xf numFmtId="164" fontId="9" fillId="2" borderId="0" xfId="1" applyNumberFormat="1" applyFont="1" applyFill="1" applyBorder="1"/>
    <xf numFmtId="164" fontId="14" fillId="2" borderId="0" xfId="1" applyNumberFormat="1" applyFont="1" applyFill="1" applyBorder="1"/>
    <xf numFmtId="43" fontId="0" fillId="3" borderId="0" xfId="1" applyFont="1" applyFill="1" applyBorder="1"/>
    <xf numFmtId="43" fontId="8" fillId="2" borderId="0" xfId="1" applyFont="1" applyFill="1" applyBorder="1"/>
    <xf numFmtId="10" fontId="6" fillId="2" borderId="0" xfId="2" applyNumberFormat="1" applyFont="1" applyFill="1" applyBorder="1"/>
    <xf numFmtId="165" fontId="6" fillId="3" borderId="0" xfId="2" applyNumberFormat="1" applyFont="1" applyFill="1" applyBorder="1"/>
    <xf numFmtId="10" fontId="14" fillId="2" borderId="0" xfId="2" applyNumberFormat="1" applyFont="1" applyFill="1" applyBorder="1"/>
    <xf numFmtId="10" fontId="19" fillId="4" borderId="0" xfId="2" applyNumberFormat="1" applyFont="1" applyFill="1" applyBorder="1"/>
    <xf numFmtId="164" fontId="8" fillId="2" borderId="0" xfId="2" applyNumberFormat="1" applyFont="1" applyFill="1" applyBorder="1"/>
    <xf numFmtId="164" fontId="8" fillId="0" borderId="0" xfId="1" applyNumberFormat="1" applyFont="1" applyFill="1" applyBorder="1"/>
    <xf numFmtId="165" fontId="7" fillId="2" borderId="0" xfId="2" applyNumberFormat="1" applyFont="1" applyFill="1" applyBorder="1"/>
    <xf numFmtId="165" fontId="14" fillId="2" borderId="0" xfId="2" applyNumberFormat="1" applyFont="1" applyFill="1" applyBorder="1"/>
    <xf numFmtId="10" fontId="15" fillId="3" borderId="0" xfId="2" applyNumberFormat="1" applyFont="1" applyFill="1" applyBorder="1"/>
    <xf numFmtId="10" fontId="15" fillId="2" borderId="0" xfId="2" applyNumberFormat="1" applyFont="1" applyFill="1" applyBorder="1"/>
    <xf numFmtId="10" fontId="10" fillId="3" borderId="0" xfId="2" applyNumberFormat="1" applyFont="1" applyFill="1" applyBorder="1"/>
    <xf numFmtId="164" fontId="8" fillId="3" borderId="0" xfId="2" applyNumberFormat="1" applyFont="1" applyFill="1" applyBorder="1"/>
    <xf numFmtId="165" fontId="4" fillId="3" borderId="0" xfId="2" applyNumberFormat="1" applyFont="1" applyFill="1" applyBorder="1" applyAlignment="1">
      <alignment horizontal="right"/>
    </xf>
    <xf numFmtId="165" fontId="7" fillId="3" borderId="0" xfId="2" applyNumberFormat="1" applyFont="1" applyFill="1" applyBorder="1"/>
    <xf numFmtId="9" fontId="7" fillId="3" borderId="0" xfId="2" applyFont="1" applyFill="1" applyBorder="1"/>
    <xf numFmtId="9" fontId="0" fillId="2" borderId="0" xfId="2" applyFont="1" applyFill="1" applyBorder="1"/>
    <xf numFmtId="164" fontId="0" fillId="0" borderId="0" xfId="1" applyNumberFormat="1" applyFont="1" applyFill="1" applyBorder="1"/>
    <xf numFmtId="164" fontId="15" fillId="2" borderId="0" xfId="1" applyNumberFormat="1" applyFont="1" applyFill="1" applyBorder="1"/>
    <xf numFmtId="164" fontId="11" fillId="2" borderId="0" xfId="1" applyNumberFormat="1" applyFont="1" applyFill="1" applyBorder="1"/>
    <xf numFmtId="164" fontId="3" fillId="3" borderId="0" xfId="1" applyNumberFormat="1" applyFont="1" applyFill="1" applyBorder="1"/>
    <xf numFmtId="164" fontId="17" fillId="2" borderId="0" xfId="1" applyNumberFormat="1" applyFont="1" applyFill="1" applyBorder="1"/>
    <xf numFmtId="164" fontId="15" fillId="3" borderId="0" xfId="1" applyNumberFormat="1" applyFont="1" applyFill="1" applyBorder="1"/>
    <xf numFmtId="164" fontId="10" fillId="3" borderId="0" xfId="1" applyNumberFormat="1" applyFont="1" applyFill="1" applyBorder="1"/>
    <xf numFmtId="9" fontId="20" fillId="4" borderId="0" xfId="2" applyFont="1" applyFill="1" applyBorder="1"/>
    <xf numFmtId="9" fontId="6" fillId="3" borderId="0" xfId="2" applyFont="1" applyFill="1" applyBorder="1"/>
    <xf numFmtId="165" fontId="10" fillId="2" borderId="0" xfId="2" applyNumberFormat="1" applyFont="1" applyFill="1" applyBorder="1"/>
    <xf numFmtId="165" fontId="15" fillId="2" borderId="0" xfId="2" applyNumberFormat="1" applyFont="1" applyFill="1" applyBorder="1"/>
    <xf numFmtId="9" fontId="15" fillId="3" borderId="0" xfId="2" applyFont="1" applyFill="1" applyBorder="1"/>
    <xf numFmtId="9" fontId="15" fillId="2" borderId="0" xfId="2" applyFont="1" applyFill="1" applyBorder="1"/>
    <xf numFmtId="9" fontId="10" fillId="3" borderId="0" xfId="2" applyFont="1" applyFill="1" applyBorder="1"/>
    <xf numFmtId="164" fontId="2" fillId="3" borderId="0" xfId="1" applyNumberFormat="1" applyFont="1" applyFill="1" applyBorder="1"/>
    <xf numFmtId="9" fontId="2" fillId="2" borderId="0" xfId="2" applyFont="1" applyFill="1" applyBorder="1"/>
    <xf numFmtId="0" fontId="23" fillId="6" borderId="0" xfId="0" applyFont="1" applyFill="1"/>
    <xf numFmtId="0" fontId="0" fillId="6" borderId="0" xfId="0" applyFill="1"/>
    <xf numFmtId="0" fontId="26" fillId="6" borderId="0" xfId="0" applyFont="1" applyFill="1"/>
    <xf numFmtId="0" fontId="19" fillId="6" borderId="0" xfId="0" applyFont="1" applyFill="1"/>
    <xf numFmtId="164" fontId="23" fillId="6" borderId="0" xfId="1" applyNumberFormat="1" applyFont="1" applyFill="1" applyBorder="1"/>
    <xf numFmtId="164" fontId="0" fillId="6" borderId="0" xfId="1" applyNumberFormat="1" applyFont="1" applyFill="1" applyBorder="1"/>
    <xf numFmtId="9" fontId="27" fillId="6" borderId="0" xfId="2" applyFont="1" applyFill="1" applyBorder="1"/>
    <xf numFmtId="9" fontId="4" fillId="6" borderId="0" xfId="2" applyFont="1" applyFill="1" applyBorder="1"/>
    <xf numFmtId="165" fontId="27" fillId="6" borderId="0" xfId="2" applyNumberFormat="1" applyFont="1" applyFill="1" applyBorder="1"/>
    <xf numFmtId="165" fontId="4" fillId="6" borderId="0" xfId="2" applyNumberFormat="1" applyFont="1" applyFill="1" applyBorder="1"/>
    <xf numFmtId="164" fontId="27" fillId="6" borderId="0" xfId="1" applyNumberFormat="1" applyFont="1" applyFill="1" applyBorder="1"/>
    <xf numFmtId="164" fontId="3" fillId="6" borderId="0" xfId="1" applyNumberFormat="1" applyFont="1" applyFill="1" applyBorder="1"/>
    <xf numFmtId="43" fontId="23" fillId="6" borderId="0" xfId="1" applyFont="1" applyFill="1" applyBorder="1"/>
    <xf numFmtId="43" fontId="0" fillId="6" borderId="0" xfId="1" applyFont="1" applyFill="1" applyBorder="1"/>
    <xf numFmtId="0" fontId="27" fillId="6" borderId="0" xfId="0" applyFont="1" applyFill="1"/>
    <xf numFmtId="0" fontId="6" fillId="6" borderId="0" xfId="0" applyFont="1" applyFill="1"/>
    <xf numFmtId="9" fontId="7" fillId="6" borderId="0" xfId="2" applyFont="1" applyFill="1" applyBorder="1"/>
    <xf numFmtId="165" fontId="27" fillId="6" borderId="0" xfId="2" applyNumberFormat="1" applyFont="1" applyFill="1" applyBorder="1" applyAlignment="1">
      <alignment horizontal="right"/>
    </xf>
    <xf numFmtId="165" fontId="4" fillId="6" borderId="0" xfId="2" applyNumberFormat="1" applyFont="1" applyFill="1" applyBorder="1" applyAlignment="1">
      <alignment horizontal="right"/>
    </xf>
    <xf numFmtId="0" fontId="28" fillId="6" borderId="0" xfId="0" applyFont="1" applyFill="1"/>
    <xf numFmtId="0" fontId="22" fillId="6" borderId="0" xfId="0" applyFont="1" applyFill="1"/>
    <xf numFmtId="164" fontId="7" fillId="6" borderId="0" xfId="1" applyNumberFormat="1" applyFont="1" applyFill="1" applyBorder="1"/>
    <xf numFmtId="164" fontId="16" fillId="6" borderId="0" xfId="1" applyNumberFormat="1" applyFont="1" applyFill="1" applyBorder="1"/>
    <xf numFmtId="0" fontId="29" fillId="6" borderId="0" xfId="0" applyFont="1" applyFill="1"/>
    <xf numFmtId="0" fontId="21" fillId="6" borderId="0" xfId="0" applyFont="1" applyFill="1"/>
    <xf numFmtId="0" fontId="30" fillId="6" borderId="0" xfId="0" applyFont="1" applyFill="1"/>
    <xf numFmtId="0" fontId="20" fillId="6" borderId="0" xfId="0" applyFont="1" applyFill="1"/>
    <xf numFmtId="9" fontId="6" fillId="6" borderId="0" xfId="2" applyFont="1" applyFill="1" applyBorder="1"/>
    <xf numFmtId="0" fontId="18" fillId="6" borderId="0" xfId="0" applyFont="1" applyFill="1"/>
    <xf numFmtId="165" fontId="6" fillId="6" borderId="0" xfId="2" applyNumberFormat="1" applyFont="1" applyFill="1" applyBorder="1"/>
    <xf numFmtId="164" fontId="2" fillId="6" borderId="0" xfId="1" applyNumberFormat="1" applyFont="1" applyFill="1" applyBorder="1"/>
    <xf numFmtId="164" fontId="32" fillId="3" borderId="6" xfId="1" applyNumberFormat="1" applyFont="1" applyFill="1" applyBorder="1"/>
    <xf numFmtId="9" fontId="33" fillId="3" borderId="6" xfId="2" applyFont="1" applyFill="1" applyBorder="1"/>
    <xf numFmtId="0" fontId="32" fillId="3" borderId="6" xfId="0" applyFont="1" applyFill="1" applyBorder="1"/>
    <xf numFmtId="0" fontId="31" fillId="0" borderId="13" xfId="0" quotePrefix="1" applyFont="1" applyBorder="1"/>
    <xf numFmtId="0" fontId="31" fillId="0" borderId="12" xfId="0" quotePrefix="1" applyFont="1" applyBorder="1"/>
    <xf numFmtId="0" fontId="0" fillId="2" borderId="14" xfId="0" applyFill="1" applyBorder="1"/>
    <xf numFmtId="0" fontId="9" fillId="2" borderId="12" xfId="0" applyFont="1" applyFill="1" applyBorder="1"/>
    <xf numFmtId="0" fontId="14" fillId="2" borderId="12" xfId="0" applyFont="1" applyFill="1" applyBorder="1"/>
    <xf numFmtId="0" fontId="8" fillId="2" borderId="12" xfId="0" applyFont="1" applyFill="1" applyBorder="1"/>
    <xf numFmtId="0" fontId="0" fillId="2" borderId="12" xfId="0" applyFill="1" applyBorder="1"/>
    <xf numFmtId="0" fontId="23" fillId="6" borderId="12" xfId="0" applyFont="1" applyFill="1" applyBorder="1"/>
    <xf numFmtId="0" fontId="0" fillId="6" borderId="12" xfId="0" applyFill="1" applyBorder="1"/>
    <xf numFmtId="0" fontId="31" fillId="0" borderId="3" xfId="0" quotePrefix="1" applyFont="1" applyBorder="1"/>
    <xf numFmtId="0" fontId="0" fillId="2" borderId="11" xfId="0" applyFill="1" applyBorder="1"/>
    <xf numFmtId="0" fontId="9" fillId="2" borderId="3" xfId="0" applyFont="1" applyFill="1" applyBorder="1"/>
    <xf numFmtId="0" fontId="14" fillId="2" borderId="3" xfId="0" applyFont="1" applyFill="1" applyBorder="1"/>
    <xf numFmtId="0" fontId="8" fillId="2" borderId="3" xfId="0" applyFont="1" applyFill="1" applyBorder="1"/>
    <xf numFmtId="0" fontId="0" fillId="2" borderId="3" xfId="0" applyFill="1" applyBorder="1"/>
    <xf numFmtId="0" fontId="23" fillId="6" borderId="3" xfId="0" applyFont="1" applyFill="1" applyBorder="1"/>
    <xf numFmtId="0" fontId="0" fillId="6" borderId="3" xfId="0" applyFill="1" applyBorder="1"/>
    <xf numFmtId="164" fontId="0" fillId="3" borderId="15" xfId="1" applyNumberFormat="1" applyFont="1" applyFill="1" applyBorder="1"/>
    <xf numFmtId="0" fontId="35" fillId="0" borderId="3" xfId="0" quotePrefix="1" applyFont="1" applyBorder="1"/>
    <xf numFmtId="164" fontId="8" fillId="2" borderId="2" xfId="1" applyNumberFormat="1" applyFont="1" applyFill="1" applyBorder="1"/>
    <xf numFmtId="164" fontId="8" fillId="2" borderId="2" xfId="2" applyNumberFormat="1" applyFont="1" applyFill="1" applyBorder="1"/>
    <xf numFmtId="43" fontId="8" fillId="2" borderId="5" xfId="1" applyFont="1" applyFill="1" applyBorder="1"/>
    <xf numFmtId="2" fontId="0" fillId="2" borderId="5" xfId="0" applyNumberFormat="1" applyFill="1" applyBorder="1"/>
    <xf numFmtId="164" fontId="8" fillId="2" borderId="4" xfId="1" applyNumberFormat="1" applyFont="1" applyFill="1" applyBorder="1"/>
    <xf numFmtId="9" fontId="6" fillId="2" borderId="0" xfId="2" applyFont="1" applyFill="1" applyBorder="1"/>
    <xf numFmtId="9" fontId="3" fillId="2" borderId="0" xfId="2" applyFont="1" applyFill="1" applyBorder="1"/>
    <xf numFmtId="164" fontId="0" fillId="3" borderId="8" xfId="1" applyNumberFormat="1" applyFont="1" applyFill="1" applyBorder="1"/>
    <xf numFmtId="164" fontId="0" fillId="3" borderId="2" xfId="1" applyNumberFormat="1" applyFont="1" applyFill="1" applyBorder="1"/>
    <xf numFmtId="164" fontId="0" fillId="3" borderId="8" xfId="0" applyNumberFormat="1" applyFill="1" applyBorder="1"/>
    <xf numFmtId="164" fontId="8" fillId="3" borderId="2" xfId="2" applyNumberFormat="1" applyFont="1" applyFill="1" applyBorder="1"/>
    <xf numFmtId="2" fontId="0" fillId="3" borderId="9" xfId="0" applyNumberFormat="1" applyFill="1" applyBorder="1"/>
    <xf numFmtId="164" fontId="0" fillId="3" borderId="10" xfId="1" applyNumberFormat="1" applyFont="1" applyFill="1" applyBorder="1"/>
    <xf numFmtId="164" fontId="0" fillId="3" borderId="2" xfId="0" applyNumberFormat="1" applyFill="1" applyBorder="1"/>
    <xf numFmtId="2" fontId="0" fillId="3" borderId="5" xfId="0" applyNumberFormat="1" applyFill="1" applyBorder="1"/>
    <xf numFmtId="164" fontId="0" fillId="3" borderId="4" xfId="1" applyNumberFormat="1" applyFont="1" applyFill="1" applyBorder="1"/>
    <xf numFmtId="43" fontId="8" fillId="3" borderId="5" xfId="1" applyFont="1" applyFill="1" applyBorder="1"/>
    <xf numFmtId="164" fontId="8" fillId="3" borderId="2" xfId="1" applyNumberFormat="1" applyFont="1" applyFill="1" applyBorder="1"/>
    <xf numFmtId="164" fontId="8" fillId="3" borderId="8" xfId="1" applyNumberFormat="1" applyFont="1" applyFill="1" applyBorder="1"/>
    <xf numFmtId="164" fontId="16" fillId="7" borderId="6" xfId="1" applyNumberFormat="1" applyFont="1" applyFill="1" applyBorder="1"/>
    <xf numFmtId="164" fontId="16" fillId="7" borderId="0" xfId="1" applyNumberFormat="1" applyFont="1" applyFill="1" applyBorder="1"/>
    <xf numFmtId="0" fontId="23" fillId="2" borderId="16" xfId="0" applyFont="1" applyFill="1" applyBorder="1"/>
    <xf numFmtId="0" fontId="23" fillId="2" borderId="17" xfId="0" applyFont="1" applyFill="1" applyBorder="1"/>
    <xf numFmtId="9" fontId="23" fillId="2" borderId="18" xfId="2" applyFont="1" applyFill="1" applyBorder="1"/>
    <xf numFmtId="0" fontId="23" fillId="2" borderId="18" xfId="0" applyFont="1" applyFill="1" applyBorder="1"/>
    <xf numFmtId="0" fontId="23" fillId="2" borderId="19" xfId="0" applyFont="1" applyFill="1" applyBorder="1"/>
    <xf numFmtId="0" fontId="23" fillId="0" borderId="20" xfId="0" applyFont="1" applyBorder="1"/>
    <xf numFmtId="0" fontId="23" fillId="2" borderId="0" xfId="0" applyFont="1" applyFill="1" applyBorder="1"/>
    <xf numFmtId="0" fontId="23" fillId="2" borderId="21" xfId="0" applyFont="1" applyFill="1" applyBorder="1"/>
    <xf numFmtId="0" fontId="1" fillId="2" borderId="20" xfId="0" applyFont="1" applyFill="1" applyBorder="1" applyAlignment="1">
      <alignment horizontal="right"/>
    </xf>
    <xf numFmtId="0" fontId="19" fillId="4" borderId="20" xfId="0" applyFont="1" applyFill="1" applyBorder="1"/>
    <xf numFmtId="0" fontId="19" fillId="4" borderId="0" xfId="0" applyFont="1" applyFill="1" applyBorder="1"/>
    <xf numFmtId="164" fontId="19" fillId="4" borderId="0" xfId="0" applyNumberFormat="1" applyFont="1" applyFill="1" applyBorder="1"/>
    <xf numFmtId="0" fontId="19" fillId="4" borderId="0" xfId="0" applyFont="1" applyFill="1" applyBorder="1" applyAlignment="1">
      <alignment horizontal="center"/>
    </xf>
    <xf numFmtId="0" fontId="19" fillId="4" borderId="21" xfId="0" applyFont="1" applyFill="1" applyBorder="1"/>
    <xf numFmtId="164" fontId="0" fillId="2" borderId="20" xfId="1" applyNumberFormat="1" applyFont="1" applyFill="1" applyBorder="1"/>
    <xf numFmtId="164" fontId="2" fillId="2" borderId="21" xfId="1" applyNumberFormat="1" applyFont="1" applyFill="1" applyBorder="1"/>
    <xf numFmtId="9" fontId="4" fillId="2" borderId="20" xfId="2" applyFont="1" applyFill="1" applyBorder="1"/>
    <xf numFmtId="165" fontId="6" fillId="2" borderId="21" xfId="2" applyNumberFormat="1" applyFont="1" applyFill="1" applyBorder="1"/>
    <xf numFmtId="164" fontId="0" fillId="2" borderId="22" xfId="1" applyNumberFormat="1" applyFont="1" applyFill="1" applyBorder="1"/>
    <xf numFmtId="164" fontId="0" fillId="2" borderId="23" xfId="1" applyNumberFormat="1" applyFont="1" applyFill="1" applyBorder="1"/>
    <xf numFmtId="164" fontId="0" fillId="2" borderId="21" xfId="1" applyNumberFormat="1" applyFont="1" applyFill="1" applyBorder="1"/>
    <xf numFmtId="165" fontId="4" fillId="2" borderId="20" xfId="2" applyNumberFormat="1" applyFont="1" applyFill="1" applyBorder="1"/>
    <xf numFmtId="165" fontId="4" fillId="2" borderId="21" xfId="2" applyNumberFormat="1" applyFont="1" applyFill="1" applyBorder="1"/>
    <xf numFmtId="164" fontId="8" fillId="2" borderId="23" xfId="1" applyNumberFormat="1" applyFont="1" applyFill="1" applyBorder="1"/>
    <xf numFmtId="164" fontId="3" fillId="2" borderId="20" xfId="1" applyNumberFormat="1" applyFont="1" applyFill="1" applyBorder="1"/>
    <xf numFmtId="9" fontId="7" fillId="2" borderId="21" xfId="2" applyFont="1" applyFill="1" applyBorder="1"/>
    <xf numFmtId="164" fontId="8" fillId="2" borderId="21" xfId="1" applyNumberFormat="1" applyFont="1" applyFill="1" applyBorder="1"/>
    <xf numFmtId="164" fontId="0" fillId="2" borderId="24" xfId="1" applyNumberFormat="1" applyFont="1" applyFill="1" applyBorder="1"/>
    <xf numFmtId="164" fontId="8" fillId="2" borderId="25" xfId="1" applyNumberFormat="1" applyFont="1" applyFill="1" applyBorder="1"/>
    <xf numFmtId="43" fontId="0" fillId="2" borderId="20" xfId="1" applyFont="1" applyFill="1" applyBorder="1"/>
    <xf numFmtId="43" fontId="8" fillId="2" borderId="21" xfId="1" applyFont="1" applyFill="1" applyBorder="1"/>
    <xf numFmtId="9" fontId="6" fillId="2" borderId="20" xfId="2" applyFont="1" applyFill="1" applyBorder="1"/>
    <xf numFmtId="10" fontId="6" fillId="2" borderId="21" xfId="2" applyNumberFormat="1" applyFont="1" applyFill="1" applyBorder="1"/>
    <xf numFmtId="0" fontId="0" fillId="2" borderId="20" xfId="0" applyFill="1" applyBorder="1"/>
    <xf numFmtId="0" fontId="9" fillId="2" borderId="0" xfId="0" applyFont="1" applyFill="1" applyBorder="1"/>
    <xf numFmtId="0" fontId="14" fillId="2" borderId="0" xfId="0" applyFont="1" applyFill="1" applyBorder="1"/>
    <xf numFmtId="0" fontId="14" fillId="3" borderId="0" xfId="0" applyFont="1" applyFill="1" applyBorder="1"/>
    <xf numFmtId="0" fontId="8" fillId="3" borderId="0" xfId="0" applyFont="1" applyFill="1" applyBorder="1"/>
    <xf numFmtId="0" fontId="0" fillId="2" borderId="0" xfId="0" applyFill="1" applyBorder="1"/>
    <xf numFmtId="0" fontId="0" fillId="2" borderId="21" xfId="0" applyFill="1" applyBorder="1"/>
    <xf numFmtId="0" fontId="19" fillId="4" borderId="20" xfId="0" applyFont="1" applyFill="1" applyBorder="1" applyAlignment="1">
      <alignment horizontal="left"/>
    </xf>
    <xf numFmtId="0" fontId="5" fillId="2" borderId="20" xfId="0" applyFont="1" applyFill="1" applyBorder="1"/>
    <xf numFmtId="0" fontId="8" fillId="2" borderId="0" xfId="0" applyFont="1" applyFill="1" applyBorder="1"/>
    <xf numFmtId="164" fontId="14" fillId="2" borderId="0" xfId="0" applyNumberFormat="1" applyFont="1" applyFill="1" applyBorder="1"/>
    <xf numFmtId="164" fontId="0" fillId="3" borderId="0" xfId="0" applyNumberFormat="1" applyFill="1" applyBorder="1"/>
    <xf numFmtId="164" fontId="0" fillId="2" borderId="21" xfId="0" applyNumberFormat="1" applyFill="1" applyBorder="1"/>
    <xf numFmtId="0" fontId="0" fillId="3" borderId="0" xfId="0" applyFill="1" applyBorder="1"/>
    <xf numFmtId="164" fontId="0" fillId="2" borderId="20" xfId="1" applyNumberFormat="1" applyFont="1" applyFill="1" applyBorder="1" applyAlignment="1">
      <alignment horizontal="left" indent="1"/>
    </xf>
    <xf numFmtId="164" fontId="2" fillId="2" borderId="20" xfId="1" applyNumberFormat="1" applyFont="1" applyFill="1" applyBorder="1" applyAlignment="1">
      <alignment horizontal="left" indent="1"/>
    </xf>
    <xf numFmtId="164" fontId="2" fillId="2" borderId="20" xfId="1" applyNumberFormat="1" applyFont="1" applyFill="1" applyBorder="1" applyAlignment="1">
      <alignment horizontal="left" wrapText="1" indent="1"/>
    </xf>
    <xf numFmtId="0" fontId="0" fillId="2" borderId="24" xfId="0" applyFill="1" applyBorder="1"/>
    <xf numFmtId="164" fontId="8" fillId="2" borderId="25" xfId="2" applyNumberFormat="1" applyFont="1" applyFill="1" applyBorder="1"/>
    <xf numFmtId="0" fontId="0" fillId="2" borderId="26" xfId="0" applyFill="1" applyBorder="1"/>
    <xf numFmtId="43" fontId="8" fillId="2" borderId="27" xfId="1" applyFont="1" applyFill="1" applyBorder="1"/>
    <xf numFmtId="164" fontId="0" fillId="2" borderId="20" xfId="1" applyNumberFormat="1" applyFont="1" applyFill="1" applyBorder="1" applyAlignment="1">
      <alignment horizontal="left"/>
    </xf>
    <xf numFmtId="164" fontId="0" fillId="2" borderId="20" xfId="1" applyNumberFormat="1" applyFont="1" applyFill="1" applyBorder="1" applyAlignment="1">
      <alignment horizontal="right"/>
    </xf>
    <xf numFmtId="164" fontId="1" fillId="2" borderId="20" xfId="1" applyNumberFormat="1" applyFont="1" applyFill="1" applyBorder="1"/>
    <xf numFmtId="164" fontId="2" fillId="2" borderId="20" xfId="1" applyNumberFormat="1" applyFont="1" applyFill="1" applyBorder="1"/>
    <xf numFmtId="164" fontId="2" fillId="2" borderId="22" xfId="1" applyNumberFormat="1" applyFont="1" applyFill="1" applyBorder="1"/>
    <xf numFmtId="9" fontId="0" fillId="0" borderId="20" xfId="2" applyFont="1" applyFill="1" applyBorder="1"/>
    <xf numFmtId="9" fontId="0" fillId="2" borderId="28" xfId="2" applyFont="1" applyFill="1" applyBorder="1"/>
    <xf numFmtId="164" fontId="8" fillId="2" borderId="29" xfId="1" applyNumberFormat="1" applyFont="1" applyFill="1" applyBorder="1"/>
    <xf numFmtId="9" fontId="7" fillId="2" borderId="20" xfId="2" applyFont="1" applyFill="1" applyBorder="1"/>
    <xf numFmtId="165" fontId="7" fillId="2" borderId="21" xfId="2" applyNumberFormat="1" applyFont="1" applyFill="1" applyBorder="1"/>
    <xf numFmtId="165" fontId="4" fillId="2" borderId="20" xfId="2" applyNumberFormat="1" applyFont="1" applyFill="1" applyBorder="1" applyAlignment="1">
      <alignment horizontal="right"/>
    </xf>
    <xf numFmtId="165" fontId="4" fillId="2" borderId="21" xfId="2" applyNumberFormat="1" applyFont="1" applyFill="1" applyBorder="1" applyAlignment="1">
      <alignment horizontal="right"/>
    </xf>
    <xf numFmtId="165" fontId="4" fillId="2" borderId="22" xfId="2" applyNumberFormat="1" applyFont="1" applyFill="1" applyBorder="1" applyAlignment="1">
      <alignment horizontal="right"/>
    </xf>
    <xf numFmtId="165" fontId="4" fillId="2" borderId="23" xfId="2" applyNumberFormat="1" applyFont="1" applyFill="1" applyBorder="1" applyAlignment="1">
      <alignment horizontal="right"/>
    </xf>
    <xf numFmtId="164" fontId="0" fillId="2" borderId="0" xfId="0" applyNumberFormat="1" applyFill="1" applyBorder="1"/>
    <xf numFmtId="164" fontId="8" fillId="2" borderId="0" xfId="0" applyNumberFormat="1" applyFont="1" applyFill="1" applyBorder="1"/>
    <xf numFmtId="164" fontId="8" fillId="3" borderId="0" xfId="0" applyNumberFormat="1" applyFont="1" applyFill="1" applyBorder="1"/>
    <xf numFmtId="164" fontId="8" fillId="2" borderId="21" xfId="0" applyNumberFormat="1" applyFont="1" applyFill="1" applyBorder="1"/>
    <xf numFmtId="164" fontId="8" fillId="2" borderId="30" xfId="1" applyNumberFormat="1" applyFont="1" applyFill="1" applyBorder="1"/>
    <xf numFmtId="164" fontId="19" fillId="4" borderId="20" xfId="1" applyNumberFormat="1" applyFont="1" applyFill="1" applyBorder="1"/>
    <xf numFmtId="0" fontId="22" fillId="4" borderId="0" xfId="0" applyFont="1" applyFill="1" applyBorder="1"/>
    <xf numFmtId="0" fontId="22" fillId="4" borderId="21" xfId="0" applyFont="1" applyFill="1" applyBorder="1"/>
    <xf numFmtId="164" fontId="7" fillId="2" borderId="20" xfId="1" applyNumberFormat="1" applyFont="1" applyFill="1" applyBorder="1" applyAlignment="1">
      <alignment horizontal="right"/>
    </xf>
    <xf numFmtId="164" fontId="16" fillId="5" borderId="20" xfId="1" applyNumberFormat="1" applyFont="1" applyFill="1" applyBorder="1" applyAlignment="1">
      <alignment horizontal="right"/>
    </xf>
    <xf numFmtId="164" fontId="16" fillId="5" borderId="21" xfId="1" applyNumberFormat="1" applyFont="1" applyFill="1" applyBorder="1"/>
    <xf numFmtId="0" fontId="3" fillId="2" borderId="20" xfId="0" applyFont="1" applyFill="1" applyBorder="1"/>
    <xf numFmtId="9" fontId="0" fillId="2" borderId="24" xfId="2" applyFont="1" applyFill="1" applyBorder="1"/>
    <xf numFmtId="164" fontId="0" fillId="2" borderId="25" xfId="1" applyNumberFormat="1" applyFont="1" applyFill="1" applyBorder="1"/>
    <xf numFmtId="0" fontId="21" fillId="4" borderId="0" xfId="0" applyFont="1" applyFill="1" applyBorder="1"/>
    <xf numFmtId="0" fontId="21" fillId="4" borderId="21" xfId="0" applyFont="1" applyFill="1" applyBorder="1"/>
    <xf numFmtId="164" fontId="3" fillId="2" borderId="21" xfId="1" applyNumberFormat="1" applyFont="1" applyFill="1" applyBorder="1"/>
    <xf numFmtId="0" fontId="20" fillId="4" borderId="0" xfId="0" applyFont="1" applyFill="1" applyBorder="1"/>
    <xf numFmtId="0" fontId="20" fillId="4" borderId="21" xfId="0" applyFont="1" applyFill="1" applyBorder="1"/>
    <xf numFmtId="9" fontId="0" fillId="2" borderId="20" xfId="2" applyFont="1" applyFill="1" applyBorder="1"/>
    <xf numFmtId="3" fontId="24" fillId="2" borderId="0" xfId="0" applyNumberFormat="1" applyFont="1" applyFill="1" applyBorder="1" applyAlignment="1">
      <alignment vertical="center"/>
    </xf>
    <xf numFmtId="9" fontId="0" fillId="2" borderId="20" xfId="2" applyFont="1" applyFill="1" applyBorder="1" applyAlignment="1">
      <alignment horizontal="left"/>
    </xf>
    <xf numFmtId="9" fontId="2" fillId="2" borderId="21" xfId="2" applyFont="1" applyFill="1" applyBorder="1"/>
    <xf numFmtId="9" fontId="8" fillId="2" borderId="0" xfId="0" applyNumberFormat="1" applyFont="1" applyFill="1" applyBorder="1"/>
    <xf numFmtId="9" fontId="0" fillId="2" borderId="0" xfId="0" applyNumberFormat="1" applyFill="1" applyBorder="1"/>
    <xf numFmtId="9" fontId="8" fillId="2" borderId="21" xfId="0" applyNumberFormat="1" applyFont="1" applyFill="1" applyBorder="1"/>
    <xf numFmtId="0" fontId="18" fillId="4" borderId="0" xfId="0" applyFont="1" applyFill="1" applyBorder="1"/>
    <xf numFmtId="0" fontId="18" fillId="4" borderId="21" xfId="0" applyFont="1" applyFill="1" applyBorder="1"/>
    <xf numFmtId="164" fontId="1" fillId="2" borderId="22" xfId="1" applyNumberFormat="1" applyFont="1" applyFill="1" applyBorder="1"/>
    <xf numFmtId="164" fontId="0" fillId="2" borderId="31" xfId="1" applyNumberFormat="1" applyFont="1" applyFill="1" applyBorder="1"/>
    <xf numFmtId="164" fontId="0" fillId="2" borderId="32" xfId="1" applyNumberFormat="1" applyFont="1" applyFill="1" applyBorder="1"/>
    <xf numFmtId="165" fontId="6" fillId="2" borderId="20" xfId="2" applyNumberFormat="1" applyFont="1" applyFill="1" applyBorder="1"/>
    <xf numFmtId="164" fontId="8" fillId="2" borderId="32" xfId="1" applyNumberFormat="1" applyFont="1" applyFill="1" applyBorder="1"/>
    <xf numFmtId="164" fontId="1" fillId="2" borderId="33" xfId="1" applyNumberFormat="1" applyFont="1" applyFill="1" applyBorder="1"/>
    <xf numFmtId="164" fontId="2" fillId="2" borderId="23" xfId="1" applyNumberFormat="1" applyFont="1" applyFill="1" applyBorder="1"/>
    <xf numFmtId="164" fontId="2" fillId="2" borderId="31" xfId="1" applyNumberFormat="1" applyFont="1" applyFill="1" applyBorder="1"/>
    <xf numFmtId="164" fontId="2" fillId="2" borderId="32" xfId="1" applyNumberFormat="1" applyFont="1" applyFill="1" applyBorder="1"/>
    <xf numFmtId="164" fontId="2" fillId="2" borderId="34" xfId="1" applyNumberFormat="1" applyFont="1" applyFill="1" applyBorder="1"/>
    <xf numFmtId="164" fontId="2" fillId="3" borderId="35" xfId="1" applyNumberFormat="1" applyFont="1" applyFill="1" applyBorder="1"/>
    <xf numFmtId="164" fontId="2" fillId="2" borderId="36" xfId="1" applyNumberFormat="1" applyFont="1" applyFill="1" applyBorder="1"/>
    <xf numFmtId="164" fontId="2" fillId="3" borderId="36" xfId="1" applyNumberFormat="1" applyFont="1" applyFill="1" applyBorder="1"/>
    <xf numFmtId="164" fontId="2" fillId="2" borderId="37" xfId="1" applyNumberFormat="1" applyFont="1" applyFill="1" applyBorder="1"/>
    <xf numFmtId="0" fontId="1" fillId="2" borderId="6" xfId="0" applyFont="1" applyFill="1" applyBorder="1" applyAlignment="1">
      <alignment horizontal="center"/>
    </xf>
    <xf numFmtId="0" fontId="13" fillId="2" borderId="0" xfId="0" applyFont="1" applyFill="1" applyBorder="1" applyAlignment="1">
      <alignment horizontal="left" indent="1"/>
    </xf>
    <xf numFmtId="0" fontId="1" fillId="2" borderId="0" xfId="0" applyFont="1" applyFill="1" applyBorder="1"/>
    <xf numFmtId="0" fontId="13" fillId="2" borderId="0" xfId="0" applyFont="1" applyFill="1" applyBorder="1"/>
    <xf numFmtId="0" fontId="13" fillId="2" borderId="0" xfId="0" applyFont="1" applyFill="1" applyBorder="1" applyAlignment="1">
      <alignment horizontal="center"/>
    </xf>
    <xf numFmtId="0" fontId="13" fillId="2" borderId="21" xfId="0" applyFont="1" applyFill="1" applyBorder="1" applyAlignment="1">
      <alignment horizontal="center"/>
    </xf>
  </cellXfs>
  <cellStyles count="4">
    <cellStyle name="Comma" xfId="1" builtinId="3"/>
    <cellStyle name="Normal" xfId="0" builtinId="0"/>
    <cellStyle name="Normal 2" xfId="3" xr:uid="{00000000-0005-0000-0000-000004000000}"/>
    <cellStyle name="Percent" xfId="2" builtinId="5"/>
  </cellStyles>
  <dxfs count="0"/>
  <tableStyles count="0" defaultTableStyle="TableStyleMedium2" defaultPivotStyle="PivotStyleLight16"/>
  <colors>
    <mruColors>
      <color rgb="FFFFCCFF"/>
      <color rgb="FFFBB1EB"/>
      <color rgb="FFFFFFCC"/>
      <color rgb="FFFFD700"/>
      <color rgb="FFFFCCCC"/>
      <color rgb="FFE6E7E8"/>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37812</xdr:colOff>
      <xdr:row>0</xdr:row>
      <xdr:rowOff>67368</xdr:rowOff>
    </xdr:from>
    <xdr:to>
      <xdr:col>0</xdr:col>
      <xdr:colOff>1535618</xdr:colOff>
      <xdr:row>2</xdr:row>
      <xdr:rowOff>57843</xdr:rowOff>
    </xdr:to>
    <xdr:pic>
      <xdr:nvPicPr>
        <xdr:cNvPr id="2" name="Picture 1" descr="Axon Logo">
          <a:extLst>
            <a:ext uri="{FF2B5EF4-FFF2-40B4-BE49-F238E27FC236}">
              <a16:creationId xmlns:a16="http://schemas.microsoft.com/office/drawing/2014/main" id="{E18F07E4-948C-4CDF-ACAD-366E0100FA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2" y="67368"/>
          <a:ext cx="1497806" cy="376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axn-my.sharepoint.com/saffp41003/Fileserver/Users/Lori/Desktop/Clients/Valant/Budget/Budget%20Valant%20v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Lori/Desktop/Clients/Valant/Budget/Budget%20Valant%20v4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axn-my.sharepoint.com/Users/zmichelson/AppData/Local/Microsoft/Windows/INetCache/Content.Outlook/PVXQNVKL/Model/Safariland%20Model_v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Mark%20Cristalli/AppData/Local/Microsoft/Windows/Temporary%20Internet%20Files/Content.Outlook/9YAY0HKH/Marketfish%20Forecast%20-%2001%2030%2009%20Scenario%202%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Book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Documents%20and%20Settings/KAOS/Local%20Settings/Temp/Temporary%20Directory%201%20for%20Forecast%20100702.zip/BC%20-%20Forecast%206-1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CapTable/CapTable_Fyreball_v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PL"/>
      <sheetName val="PL-Monthly"/>
      <sheetName val="Balance Sheet"/>
      <sheetName val="COA"/>
      <sheetName val="Summary Scenarios"/>
      <sheetName val="PLPL"/>
      <sheetName val="Budget"/>
      <sheetName val="CashPlan"/>
      <sheetName val="Revenue &amp; COGS"/>
      <sheetName val="PL-Inputs"/>
      <sheetName val="BalSheet-inputs"/>
      <sheetName val="Deferred Revenue"/>
      <sheetName val="Atlas "/>
      <sheetName val="Addtl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PL"/>
      <sheetName val="PL-Monthly"/>
      <sheetName val="Balance Sheet"/>
      <sheetName val="COA"/>
      <sheetName val="Summary Scenarios"/>
      <sheetName val="PLPL"/>
      <sheetName val="Budget"/>
      <sheetName val="CashPlan"/>
      <sheetName val="Revenue &amp; COGS"/>
      <sheetName val="PL-Inputs"/>
      <sheetName val="BalSheet-inputs"/>
      <sheetName val="Deferred Revenue"/>
      <sheetName val="Atlas "/>
      <sheetName val="Addtl 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Inputs&gt;&gt;&gt;"/>
      <sheetName val="FactSet.Comps"/>
      <sheetName val="Betas"/>
      <sheetName val="Precedents.Backup"/>
      <sheetName val="Cases"/>
      <sheetName val="Analysis&gt;&gt;&gt;"/>
      <sheetName val="LBO"/>
      <sheetName val="DCF"/>
      <sheetName val="Precedents"/>
      <sheetName val="Comps"/>
      <sheetName val="WACC"/>
      <sheetName val="Outputs&gt;&gt;&gt;"/>
      <sheetName val="Football.Field"/>
      <sheetName val="Subscriber Analysis"/>
      <sheetName val="Files.Received&gt;&gt;&gt;"/>
      <sheetName val="VieVu.Financials"/>
      <sheetName val="Share.Count"/>
      <sheetName val="Summary.Formatted"/>
      <sheetName val="Detailed.Model"/>
      <sheetName val="2017.Budget"/>
      <sheetName val="Unit.Buildup"/>
      <sheetName val="Precedents Bac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isclaimer_Instructions"/>
      <sheetName val="Assumptions"/>
      <sheetName val="Scenario"/>
      <sheetName val="Slide Info"/>
      <sheetName val="Investor Information"/>
      <sheetName val="Monthly-Quarterly"/>
      <sheetName val="IS by Category"/>
      <sheetName val="IS by Department"/>
      <sheetName val="Totals by Category"/>
      <sheetName val="Totals by Department"/>
      <sheetName val="Balance sheets"/>
      <sheetName val="Cash Flows"/>
      <sheetName val="Revenue"/>
      <sheetName val="COR - 1"/>
      <sheetName val="COR - 2"/>
      <sheetName val="Sales"/>
      <sheetName val="Marketing"/>
      <sheetName val="Acct Mgmt"/>
      <sheetName val="R&amp;D"/>
      <sheetName val="G&amp;A"/>
      <sheetName val="Dept 2"/>
      <sheetName val="Personnel"/>
      <sheetName val="Monthly 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3"/>
      <sheetName val="Mthly Assumes"/>
      <sheetName val="IS by Dept no v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Assumptions"/>
      <sheetName val="Dashboard"/>
      <sheetName val="Financials"/>
      <sheetName val="Totals by Category"/>
      <sheetName val="Revenue and Direct Costs"/>
      <sheetName val="Salary Equity Table"/>
      <sheetName val="Staffing"/>
      <sheetName val="Mthly Assumes"/>
      <sheetName val="Fixedass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hares"/>
      <sheetName val="Options_warrants"/>
      <sheetName val="Convertible Notes "/>
      <sheetName val="Shareholder Info"/>
      <sheetName val="Noteholder Info"/>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CI1635"/>
  <sheetViews>
    <sheetView tabSelected="1" zoomScale="92" zoomScaleNormal="80" zoomScaleSheetLayoutView="125" workbookViewId="0">
      <pane xSplit="1" ySplit="3" topLeftCell="B4" activePane="bottomRight" state="frozen"/>
      <selection pane="topRight" activeCell="B1" sqref="B1"/>
      <selection pane="bottomLeft" activeCell="A3" sqref="A3"/>
      <selection pane="bottomRight" activeCell="R168" sqref="R168"/>
    </sheetView>
  </sheetViews>
  <sheetFormatPr baseColWidth="10" defaultColWidth="8.83203125" defaultRowHeight="15" x14ac:dyDescent="0.2"/>
  <cols>
    <col min="1" max="1" width="73.5" style="1" bestFit="1" customWidth="1"/>
    <col min="2" max="2" width="11.1640625" style="67" bestFit="1" customWidth="1"/>
    <col min="3" max="3" width="11.1640625" style="67" customWidth="1"/>
    <col min="4" max="4" width="12.1640625" style="19" customWidth="1"/>
    <col min="5" max="6" width="10.5" style="29" customWidth="1"/>
    <col min="7" max="7" width="11.83203125" style="29" bestFit="1" customWidth="1"/>
    <col min="8" max="8" width="10.5" style="38" bestFit="1" customWidth="1"/>
    <col min="9" max="12" width="10.5" style="29" customWidth="1"/>
    <col min="13" max="13" width="10.5" style="39" bestFit="1" customWidth="1"/>
    <col min="14" max="15" width="10.5" style="29" customWidth="1"/>
    <col min="16" max="19" width="10.5" style="1" bestFit="1" customWidth="1"/>
    <col min="20" max="28" width="8.83203125" style="133"/>
    <col min="29" max="29" width="9" style="133" customWidth="1"/>
    <col min="30" max="30" width="8.83203125" style="133"/>
    <col min="31" max="87" width="8.83203125" style="134"/>
    <col min="88" max="16384" width="8.83203125" style="1"/>
  </cols>
  <sheetData>
    <row r="1" spans="1:87" s="52" customFormat="1" x14ac:dyDescent="0.2">
      <c r="A1" s="207"/>
      <c r="B1" s="208"/>
      <c r="C1" s="208"/>
      <c r="D1" s="209"/>
      <c r="E1" s="210"/>
      <c r="F1" s="209"/>
      <c r="G1" s="210"/>
      <c r="H1" s="210"/>
      <c r="I1" s="209"/>
      <c r="J1" s="210"/>
      <c r="K1" s="209"/>
      <c r="L1" s="210"/>
      <c r="M1" s="210"/>
      <c r="N1" s="209"/>
      <c r="O1" s="210"/>
      <c r="P1" s="210"/>
      <c r="Q1" s="210"/>
      <c r="R1" s="210"/>
      <c r="S1" s="211"/>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row>
    <row r="2" spans="1:87" s="52" customFormat="1" x14ac:dyDescent="0.2">
      <c r="A2" s="212"/>
      <c r="B2" s="86"/>
      <c r="C2" s="86"/>
      <c r="D2" s="93"/>
      <c r="E2" s="93"/>
      <c r="F2" s="93"/>
      <c r="G2" s="93"/>
      <c r="H2" s="213"/>
      <c r="I2" s="94"/>
      <c r="J2" s="94"/>
      <c r="K2" s="94"/>
      <c r="L2" s="94"/>
      <c r="M2" s="213"/>
      <c r="N2" s="94"/>
      <c r="O2" s="94"/>
      <c r="P2" s="213"/>
      <c r="Q2" s="213"/>
      <c r="R2" s="213"/>
      <c r="S2" s="214"/>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row>
    <row r="3" spans="1:87" x14ac:dyDescent="0.2">
      <c r="A3" s="215" t="s">
        <v>0</v>
      </c>
      <c r="B3" s="317" t="s">
        <v>1</v>
      </c>
      <c r="C3" s="317" t="s">
        <v>2</v>
      </c>
      <c r="D3" s="318" t="s">
        <v>3</v>
      </c>
      <c r="E3" s="319" t="s">
        <v>4</v>
      </c>
      <c r="F3" s="320" t="s">
        <v>5</v>
      </c>
      <c r="G3" s="320" t="s">
        <v>6</v>
      </c>
      <c r="H3" s="321" t="s">
        <v>7</v>
      </c>
      <c r="I3" s="321" t="s">
        <v>8</v>
      </c>
      <c r="J3" s="321" t="s">
        <v>9</v>
      </c>
      <c r="K3" s="321" t="s">
        <v>10</v>
      </c>
      <c r="L3" s="321" t="s">
        <v>11</v>
      </c>
      <c r="M3" s="321" t="s">
        <v>12</v>
      </c>
      <c r="N3" s="321" t="s">
        <v>13</v>
      </c>
      <c r="O3" s="321" t="s">
        <v>14</v>
      </c>
      <c r="P3" s="321" t="s">
        <v>15</v>
      </c>
      <c r="Q3" s="321" t="s">
        <v>16</v>
      </c>
      <c r="R3" s="321" t="s">
        <v>17</v>
      </c>
      <c r="S3" s="322" t="s">
        <v>18</v>
      </c>
    </row>
    <row r="4" spans="1:87" s="44" customFormat="1" ht="43" customHeight="1" x14ac:dyDescent="0.25">
      <c r="A4" s="216" t="s">
        <v>19</v>
      </c>
      <c r="B4" s="56"/>
      <c r="C4" s="56"/>
      <c r="D4" s="217"/>
      <c r="E4" s="217"/>
      <c r="F4" s="218"/>
      <c r="G4" s="217"/>
      <c r="H4" s="219"/>
      <c r="I4" s="219"/>
      <c r="J4" s="219"/>
      <c r="K4" s="219"/>
      <c r="L4" s="219"/>
      <c r="M4" s="219"/>
      <c r="N4" s="219"/>
      <c r="O4" s="219"/>
      <c r="P4" s="217"/>
      <c r="Q4" s="217"/>
      <c r="R4" s="217"/>
      <c r="S4" s="220"/>
      <c r="T4" s="135"/>
      <c r="U4" s="135"/>
      <c r="V4" s="135"/>
      <c r="W4" s="135"/>
      <c r="X4" s="135"/>
      <c r="Y4" s="135"/>
      <c r="Z4" s="135"/>
      <c r="AA4" s="135"/>
      <c r="AB4" s="135"/>
      <c r="AC4" s="135"/>
      <c r="AD4" s="135"/>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row>
    <row r="5" spans="1:87" s="2" customFormat="1" x14ac:dyDescent="0.2">
      <c r="A5" s="221" t="s">
        <v>20</v>
      </c>
      <c r="B5" s="57">
        <v>343798</v>
      </c>
      <c r="C5" s="57">
        <v>420068</v>
      </c>
      <c r="D5" s="20">
        <f>88089+27721</f>
        <v>115810</v>
      </c>
      <c r="E5" s="5">
        <v>112362</v>
      </c>
      <c r="F5" s="33">
        <v>130837</v>
      </c>
      <c r="G5" s="33">
        <v>171851</v>
      </c>
      <c r="H5" s="34">
        <f>SUM(D5:G5)</f>
        <v>530860</v>
      </c>
      <c r="I5" s="33">
        <v>147162</v>
      </c>
      <c r="J5" s="33">
        <v>141259</v>
      </c>
      <c r="K5" s="20">
        <v>166442</v>
      </c>
      <c r="L5" s="20">
        <v>226140</v>
      </c>
      <c r="M5" s="131">
        <f>SUM(I5:L5)</f>
        <v>681003</v>
      </c>
      <c r="N5" s="20">
        <v>195019</v>
      </c>
      <c r="O5" s="20">
        <v>218795</v>
      </c>
      <c r="P5" s="20">
        <v>231989</v>
      </c>
      <c r="Q5" s="20">
        <v>217578</v>
      </c>
      <c r="R5" s="131">
        <f>SUM(N5:Q5)</f>
        <v>863381</v>
      </c>
      <c r="S5" s="222">
        <v>256426</v>
      </c>
      <c r="T5" s="137"/>
      <c r="U5" s="137"/>
      <c r="V5" s="137"/>
      <c r="W5" s="137"/>
      <c r="X5" s="137"/>
      <c r="Y5" s="137"/>
      <c r="Z5" s="137"/>
      <c r="AA5" s="137"/>
      <c r="AB5" s="137"/>
      <c r="AC5" s="137"/>
      <c r="AD5" s="137"/>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row>
    <row r="6" spans="1:87" s="4" customFormat="1" x14ac:dyDescent="0.2">
      <c r="A6" s="223" t="s">
        <v>21</v>
      </c>
      <c r="B6" s="58"/>
      <c r="C6" s="58"/>
      <c r="D6" s="92"/>
      <c r="E6" s="92"/>
      <c r="F6" s="92"/>
      <c r="G6" s="92"/>
      <c r="H6" s="95">
        <f>(H5-C5)/C5</f>
        <v>0.26374777416989631</v>
      </c>
      <c r="I6" s="92">
        <f t="shared" ref="I6:S6" si="0">(I5-D5)/D5</f>
        <v>0.27071928158190139</v>
      </c>
      <c r="J6" s="92">
        <f t="shared" si="0"/>
        <v>0.25717769352628111</v>
      </c>
      <c r="K6" s="92">
        <f t="shared" si="0"/>
        <v>0.27213250074520207</v>
      </c>
      <c r="L6" s="92">
        <f t="shared" si="0"/>
        <v>0.31590738488574405</v>
      </c>
      <c r="M6" s="96">
        <f t="shared" si="0"/>
        <v>0.28282974795614663</v>
      </c>
      <c r="N6" s="92">
        <f t="shared" si="0"/>
        <v>0.3251994400728449</v>
      </c>
      <c r="O6" s="92">
        <f t="shared" si="0"/>
        <v>0.54889245994945457</v>
      </c>
      <c r="P6" s="92">
        <f t="shared" si="0"/>
        <v>0.39381285973492269</v>
      </c>
      <c r="Q6" s="92">
        <f t="shared" si="0"/>
        <v>-3.7861501724595382E-2</v>
      </c>
      <c r="R6" s="96">
        <f t="shared" si="0"/>
        <v>0.26780792448785101</v>
      </c>
      <c r="S6" s="224">
        <f t="shared" si="0"/>
        <v>0.31487701198344775</v>
      </c>
      <c r="T6" s="139"/>
      <c r="U6" s="139"/>
      <c r="V6" s="139"/>
      <c r="W6" s="139"/>
      <c r="X6" s="139"/>
      <c r="Y6" s="139"/>
      <c r="Z6" s="139"/>
      <c r="AA6" s="139"/>
      <c r="AB6" s="139"/>
      <c r="AC6" s="139"/>
      <c r="AD6" s="139"/>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row>
    <row r="7" spans="1:87" s="3" customFormat="1" x14ac:dyDescent="0.2">
      <c r="A7" s="225" t="s">
        <v>22</v>
      </c>
      <c r="B7" s="59">
        <v>136710</v>
      </c>
      <c r="C7" s="59">
        <v>161485</v>
      </c>
      <c r="D7" s="31">
        <f>39600+7293</f>
        <v>46893</v>
      </c>
      <c r="E7" s="21">
        <v>46802</v>
      </c>
      <c r="F7" s="31">
        <v>50668</v>
      </c>
      <c r="G7" s="31">
        <v>79211</v>
      </c>
      <c r="H7" s="35">
        <f>SUM(D7:G7)</f>
        <v>223574</v>
      </c>
      <c r="I7" s="31">
        <v>58554</v>
      </c>
      <c r="J7" s="31">
        <v>53082</v>
      </c>
      <c r="K7" s="21">
        <v>68202</v>
      </c>
      <c r="L7" s="21">
        <v>84834</v>
      </c>
      <c r="M7" s="35">
        <f>SUM(I7:L7)</f>
        <v>264672</v>
      </c>
      <c r="N7" s="31">
        <v>71666</v>
      </c>
      <c r="O7" s="31">
        <v>80866</v>
      </c>
      <c r="P7" s="3">
        <v>87422</v>
      </c>
      <c r="Q7" s="3">
        <v>82517</v>
      </c>
      <c r="R7" s="35">
        <f>SUM(N7:Q7)</f>
        <v>322471</v>
      </c>
      <c r="S7" s="226">
        <v>100687</v>
      </c>
      <c r="T7" s="137"/>
      <c r="U7" s="137"/>
      <c r="V7" s="137"/>
      <c r="W7" s="137"/>
      <c r="X7" s="137"/>
      <c r="Y7" s="137"/>
      <c r="Z7" s="137"/>
      <c r="AA7" s="137"/>
      <c r="AB7" s="137"/>
      <c r="AC7" s="137"/>
      <c r="AD7" s="137"/>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row>
    <row r="8" spans="1:87" s="2" customFormat="1" x14ac:dyDescent="0.2">
      <c r="A8" s="221" t="s">
        <v>23</v>
      </c>
      <c r="B8" s="57">
        <v>207088</v>
      </c>
      <c r="C8" s="60">
        <v>258583</v>
      </c>
      <c r="D8" s="5">
        <f t="shared" ref="D8:L8" si="1">D5-D7</f>
        <v>68917</v>
      </c>
      <c r="E8" s="5">
        <f t="shared" si="1"/>
        <v>65560</v>
      </c>
      <c r="F8" s="5">
        <f t="shared" si="1"/>
        <v>80169</v>
      </c>
      <c r="G8" s="5">
        <f t="shared" si="1"/>
        <v>92640</v>
      </c>
      <c r="H8" s="34">
        <f t="shared" si="1"/>
        <v>307286</v>
      </c>
      <c r="I8" s="5">
        <f t="shared" si="1"/>
        <v>88608</v>
      </c>
      <c r="J8" s="5">
        <f t="shared" si="1"/>
        <v>88177</v>
      </c>
      <c r="K8" s="5">
        <f t="shared" si="1"/>
        <v>98240</v>
      </c>
      <c r="L8" s="5">
        <f t="shared" si="1"/>
        <v>141306</v>
      </c>
      <c r="M8" s="34">
        <f>SUM(I8:L8)</f>
        <v>416331</v>
      </c>
      <c r="N8" s="5">
        <f>N5-N7</f>
        <v>123353</v>
      </c>
      <c r="O8" s="5">
        <f>O5-O7</f>
        <v>137929</v>
      </c>
      <c r="P8" s="5">
        <f>P5-P7</f>
        <v>144567</v>
      </c>
      <c r="Q8" s="5">
        <f>Q5-Q7</f>
        <v>135061</v>
      </c>
      <c r="R8" s="34">
        <f>SUM(N8:Q8)</f>
        <v>540910</v>
      </c>
      <c r="S8" s="227">
        <f>S5-S7</f>
        <v>155739</v>
      </c>
      <c r="T8" s="137"/>
      <c r="U8" s="137"/>
      <c r="V8" s="137"/>
      <c r="W8" s="137"/>
      <c r="X8" s="137"/>
      <c r="Y8" s="137"/>
      <c r="Z8" s="137"/>
      <c r="AA8" s="137"/>
      <c r="AB8" s="137"/>
      <c r="AC8" s="137"/>
      <c r="AD8" s="137"/>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row>
    <row r="9" spans="1:87" s="16" customFormat="1" x14ac:dyDescent="0.2">
      <c r="A9" s="228" t="s">
        <v>24</v>
      </c>
      <c r="B9" s="61">
        <v>0.60235370770045205</v>
      </c>
      <c r="C9" s="61">
        <v>0.61557414513840614</v>
      </c>
      <c r="D9" s="88">
        <f t="shared" ref="D9:K9" si="2">D8/D5</f>
        <v>0.59508678007080562</v>
      </c>
      <c r="E9" s="88">
        <f t="shared" si="2"/>
        <v>0.58347128032608886</v>
      </c>
      <c r="F9" s="88">
        <f t="shared" si="2"/>
        <v>0.61273951558045503</v>
      </c>
      <c r="G9" s="88">
        <f t="shared" si="2"/>
        <v>0.5390716376395831</v>
      </c>
      <c r="H9" s="96">
        <f t="shared" si="2"/>
        <v>0.57884564668650873</v>
      </c>
      <c r="I9" s="88">
        <f t="shared" si="2"/>
        <v>0.60211195825009178</v>
      </c>
      <c r="J9" s="88">
        <f t="shared" si="2"/>
        <v>0.62422217345443476</v>
      </c>
      <c r="K9" s="88">
        <f t="shared" si="2"/>
        <v>0.59023563763953812</v>
      </c>
      <c r="L9" s="92">
        <v>0.625</v>
      </c>
      <c r="M9" s="96">
        <f t="shared" ref="M9:S9" si="3">M8/M5</f>
        <v>0.6113497297368734</v>
      </c>
      <c r="N9" s="88">
        <f t="shared" si="3"/>
        <v>0.63251785723442333</v>
      </c>
      <c r="O9" s="88">
        <f t="shared" si="3"/>
        <v>0.63040288854864146</v>
      </c>
      <c r="P9" s="88">
        <f t="shared" si="3"/>
        <v>0.62316316721913534</v>
      </c>
      <c r="Q9" s="88">
        <f t="shared" si="3"/>
        <v>0.62074750204524354</v>
      </c>
      <c r="R9" s="96">
        <f t="shared" si="3"/>
        <v>0.62650208888080694</v>
      </c>
      <c r="S9" s="229">
        <f t="shared" si="3"/>
        <v>0.60734480902872567</v>
      </c>
      <c r="T9" s="141"/>
      <c r="U9" s="141"/>
      <c r="V9" s="141"/>
      <c r="W9" s="141"/>
      <c r="X9" s="141"/>
      <c r="Y9" s="141"/>
      <c r="Z9" s="141"/>
      <c r="AA9" s="141"/>
      <c r="AB9" s="141"/>
      <c r="AC9" s="141"/>
      <c r="AD9" s="141"/>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row>
    <row r="10" spans="1:87" s="2" customFormat="1" ht="14" customHeight="1" x14ac:dyDescent="0.2">
      <c r="A10" s="221" t="s">
        <v>25</v>
      </c>
      <c r="B10" s="57"/>
      <c r="C10" s="57"/>
      <c r="D10" s="97"/>
      <c r="E10" s="98"/>
      <c r="F10" s="98"/>
      <c r="G10" s="98"/>
      <c r="H10" s="51"/>
      <c r="I10" s="98"/>
      <c r="J10" s="98"/>
      <c r="K10" s="98"/>
      <c r="L10" s="98"/>
      <c r="M10" s="51"/>
      <c r="N10" s="98"/>
      <c r="O10" s="98"/>
      <c r="P10" s="5"/>
      <c r="Q10" s="5"/>
      <c r="R10" s="51"/>
      <c r="S10" s="227"/>
      <c r="T10" s="137"/>
      <c r="U10" s="137"/>
      <c r="V10" s="137"/>
      <c r="W10" s="137"/>
      <c r="X10" s="137"/>
      <c r="Y10" s="137"/>
      <c r="Z10" s="137"/>
      <c r="AA10" s="137"/>
      <c r="AB10" s="137"/>
      <c r="AC10" s="137"/>
      <c r="AD10" s="137"/>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row>
    <row r="11" spans="1:87" s="2" customFormat="1" x14ac:dyDescent="0.2">
      <c r="A11" s="221" t="s">
        <v>26</v>
      </c>
      <c r="B11" s="57">
        <v>138692</v>
      </c>
      <c r="C11" s="57">
        <v>156886</v>
      </c>
      <c r="D11" s="20">
        <v>42892</v>
      </c>
      <c r="E11" s="20">
        <v>43362</v>
      </c>
      <c r="F11" s="33">
        <v>48424</v>
      </c>
      <c r="G11" s="33">
        <v>78281</v>
      </c>
      <c r="H11" s="24">
        <f>SUM(D11:G11)</f>
        <v>212959</v>
      </c>
      <c r="I11" s="33">
        <v>63027</v>
      </c>
      <c r="J11" s="33">
        <v>72293</v>
      </c>
      <c r="K11" s="20">
        <v>74443</v>
      </c>
      <c r="L11" s="20">
        <v>97523</v>
      </c>
      <c r="M11" s="24">
        <f>SUM(I11:L11)</f>
        <v>307286</v>
      </c>
      <c r="N11" s="33">
        <v>126597</v>
      </c>
      <c r="O11" s="33">
        <v>177662</v>
      </c>
      <c r="P11" s="5">
        <v>99295</v>
      </c>
      <c r="Q11" s="5">
        <v>111453</v>
      </c>
      <c r="R11" s="24">
        <f>SUM(N11:Q11)</f>
        <v>515007</v>
      </c>
      <c r="S11" s="227">
        <v>90129</v>
      </c>
      <c r="T11" s="137"/>
      <c r="U11" s="137"/>
      <c r="V11" s="137"/>
      <c r="W11" s="137"/>
      <c r="X11" s="137"/>
      <c r="Y11" s="137"/>
      <c r="Z11" s="137"/>
      <c r="AA11" s="137"/>
      <c r="AB11" s="137"/>
      <c r="AC11" s="137"/>
      <c r="AD11" s="137"/>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row>
    <row r="12" spans="1:87" s="3" customFormat="1" x14ac:dyDescent="0.2">
      <c r="A12" s="225" t="s">
        <v>27</v>
      </c>
      <c r="B12" s="59">
        <v>55373</v>
      </c>
      <c r="C12" s="59">
        <v>76856</v>
      </c>
      <c r="D12" s="21">
        <v>23354</v>
      </c>
      <c r="E12" s="21">
        <v>23493</v>
      </c>
      <c r="F12" s="31">
        <v>25129</v>
      </c>
      <c r="G12" s="31">
        <v>28745</v>
      </c>
      <c r="H12" s="23">
        <f>SUM(D12:G12)</f>
        <v>100721</v>
      </c>
      <c r="I12" s="31">
        <v>26381</v>
      </c>
      <c r="J12" s="31">
        <v>29560</v>
      </c>
      <c r="K12" s="21">
        <v>29246</v>
      </c>
      <c r="L12" s="21">
        <v>38008</v>
      </c>
      <c r="M12" s="23">
        <f>SUM(I12:L12)</f>
        <v>123195</v>
      </c>
      <c r="N12" s="31">
        <v>47018</v>
      </c>
      <c r="O12" s="31">
        <v>53952</v>
      </c>
      <c r="P12" s="3">
        <v>42382</v>
      </c>
      <c r="Q12" s="3">
        <v>50674</v>
      </c>
      <c r="R12" s="23">
        <f>SUM(N12:Q12)</f>
        <v>194026</v>
      </c>
      <c r="S12" s="226">
        <v>48416</v>
      </c>
      <c r="T12" s="137"/>
      <c r="U12" s="137"/>
      <c r="V12" s="137"/>
      <c r="W12" s="137"/>
      <c r="X12" s="137"/>
      <c r="Y12" s="137"/>
      <c r="Z12" s="137"/>
      <c r="AA12" s="137"/>
      <c r="AB12" s="137"/>
      <c r="AC12" s="137"/>
      <c r="AD12" s="137"/>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row>
    <row r="13" spans="1:87" s="3" customFormat="1" x14ac:dyDescent="0.2">
      <c r="A13" s="225" t="s">
        <v>28</v>
      </c>
      <c r="B13" s="59">
        <v>194065</v>
      </c>
      <c r="C13" s="59">
        <v>233742</v>
      </c>
      <c r="D13" s="3">
        <f>SUM(D11:D12)</f>
        <v>66246</v>
      </c>
      <c r="E13" s="3">
        <f>SUM(E11:E12)</f>
        <v>66855</v>
      </c>
      <c r="F13" s="3">
        <f>SUM(F11:F12)</f>
        <v>73553</v>
      </c>
      <c r="G13" s="31">
        <f>SUM(G11:G12)</f>
        <v>107026</v>
      </c>
      <c r="H13" s="23">
        <f>H11+H12</f>
        <v>313680</v>
      </c>
      <c r="I13" s="31">
        <f>SUM(I11:I12)</f>
        <v>89408</v>
      </c>
      <c r="J13" s="31">
        <f>SUM(J11:J12)</f>
        <v>101853</v>
      </c>
      <c r="K13" s="21">
        <f>SUM(K11:K12)</f>
        <v>103689</v>
      </c>
      <c r="L13" s="21">
        <f>SUM(L11:L12)</f>
        <v>135531</v>
      </c>
      <c r="M13" s="23">
        <f>M11+M12</f>
        <v>430481</v>
      </c>
      <c r="N13" s="31">
        <f>SUM(N11:N12)</f>
        <v>173615</v>
      </c>
      <c r="O13" s="31">
        <f>SUM(O11:O12)</f>
        <v>231614</v>
      </c>
      <c r="P13" s="31">
        <f>SUM(P11:P12)</f>
        <v>141677</v>
      </c>
      <c r="Q13" s="31">
        <f>SUM(Q11:Q12)</f>
        <v>162127</v>
      </c>
      <c r="R13" s="23">
        <f>R11+R12</f>
        <v>709033</v>
      </c>
      <c r="S13" s="230">
        <f>SUM(S11:S12)</f>
        <v>138545</v>
      </c>
      <c r="T13" s="137"/>
      <c r="U13" s="137"/>
      <c r="V13" s="137"/>
      <c r="W13" s="137"/>
      <c r="X13" s="137"/>
      <c r="Y13" s="137"/>
      <c r="Z13" s="137"/>
      <c r="AA13" s="137"/>
      <c r="AB13" s="137"/>
      <c r="AC13" s="137"/>
      <c r="AD13" s="137"/>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row>
    <row r="14" spans="1:87" s="18" customFormat="1" x14ac:dyDescent="0.2">
      <c r="A14" s="231" t="s">
        <v>29</v>
      </c>
      <c r="B14" s="63">
        <v>0.39932220499693549</v>
      </c>
      <c r="C14" s="63">
        <v>0.2044521165588849</v>
      </c>
      <c r="D14" s="17"/>
      <c r="E14" s="17">
        <f>(E13-D13)/D13</f>
        <v>9.1930078797210404E-3</v>
      </c>
      <c r="F14" s="17">
        <f>(F13-E13)/E13</f>
        <v>0.10018697180465186</v>
      </c>
      <c r="G14" s="17">
        <f>(G13-F13)/F13</f>
        <v>0.45508680815194485</v>
      </c>
      <c r="H14" s="26">
        <f>(H13-C13)/C13</f>
        <v>0.34199245321765021</v>
      </c>
      <c r="I14" s="17">
        <f>(I13-G13)/G13</f>
        <v>-0.16461420589389494</v>
      </c>
      <c r="J14" s="17">
        <f>(J13-I13)/I13</f>
        <v>0.1391933607730852</v>
      </c>
      <c r="K14" s="17">
        <f>(K13-J13)/J13</f>
        <v>1.8025978616241053E-2</v>
      </c>
      <c r="L14" s="17">
        <f>(L13-K13)/K13</f>
        <v>0.30709139831611837</v>
      </c>
      <c r="M14" s="26">
        <f>(M13-H13)/H13</f>
        <v>0.37235717929099721</v>
      </c>
      <c r="N14" s="17">
        <f>(N13-L13)/L13</f>
        <v>0.28099844316060535</v>
      </c>
      <c r="O14" s="17">
        <f>(O13-N13)/N13</f>
        <v>0.33406675690464532</v>
      </c>
      <c r="P14" s="17">
        <f t="shared" ref="P14:Q14" si="4">(P13-O13)/O13</f>
        <v>-0.38830554284283336</v>
      </c>
      <c r="Q14" s="17">
        <f t="shared" si="4"/>
        <v>0.14434241267107575</v>
      </c>
      <c r="R14" s="26">
        <f>(R13-M13)/M13</f>
        <v>0.64707153161231279</v>
      </c>
      <c r="S14" s="232">
        <f>(S13-Q13)/Q13</f>
        <v>-0.14545387258137141</v>
      </c>
      <c r="T14" s="143"/>
      <c r="U14" s="143"/>
      <c r="V14" s="143"/>
      <c r="W14" s="143"/>
      <c r="X14" s="143"/>
      <c r="Y14" s="143"/>
      <c r="Z14" s="143"/>
      <c r="AA14" s="143"/>
      <c r="AB14" s="143"/>
      <c r="AC14" s="143"/>
      <c r="AD14" s="143"/>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row>
    <row r="15" spans="1:87" s="18" customFormat="1" x14ac:dyDescent="0.2">
      <c r="A15" s="231" t="s">
        <v>30</v>
      </c>
      <c r="B15" s="63"/>
      <c r="C15" s="63">
        <v>0.13118276468722059</v>
      </c>
      <c r="D15" s="17"/>
      <c r="E15" s="17">
        <f>(E11-D11)/D11</f>
        <v>1.0957754359787374E-2</v>
      </c>
      <c r="F15" s="17">
        <f>(F11-D11)/D11</f>
        <v>0.1289751002517952</v>
      </c>
      <c r="G15" s="17">
        <f>(G11-E11)/E11</f>
        <v>0.80529034638623676</v>
      </c>
      <c r="H15" s="26">
        <f>(H11-C11)/C11</f>
        <v>0.35741238861338809</v>
      </c>
      <c r="I15" s="17">
        <f>(I11-G11)/G11</f>
        <v>-0.19486209935999796</v>
      </c>
      <c r="J15" s="17">
        <f>(J11-I11)/I11</f>
        <v>0.14701635806876417</v>
      </c>
      <c r="K15" s="17">
        <f>(K11-I11)/I11</f>
        <v>0.18112872261094451</v>
      </c>
      <c r="L15" s="17">
        <f>(L11-J11)/J11</f>
        <v>0.34899644502233962</v>
      </c>
      <c r="M15" s="26">
        <f>(M11-H11)/H11</f>
        <v>0.44293502505177051</v>
      </c>
      <c r="N15" s="17">
        <f>(N11-L11)/L11</f>
        <v>0.29812454497913315</v>
      </c>
      <c r="O15" s="17">
        <f>(O11-N11)/N11</f>
        <v>0.40336658846576146</v>
      </c>
      <c r="P15" s="17">
        <f>(P11-O11)/O11</f>
        <v>-0.44110164244464206</v>
      </c>
      <c r="Q15" s="17">
        <f>(Q11-P11)/P11</f>
        <v>0.12244322473437735</v>
      </c>
      <c r="R15" s="26">
        <f>(R11-M11)/M11</f>
        <v>0.67598588936690895</v>
      </c>
      <c r="S15" s="232">
        <f>(S11-Q11)/Q11</f>
        <v>-0.19132728594115905</v>
      </c>
      <c r="T15" s="143"/>
      <c r="U15" s="143"/>
      <c r="V15" s="143"/>
      <c r="W15" s="143"/>
      <c r="X15" s="143"/>
      <c r="Y15" s="143"/>
      <c r="Z15" s="143"/>
      <c r="AA15" s="143"/>
      <c r="AB15" s="143"/>
      <c r="AC15" s="143"/>
      <c r="AD15" s="143"/>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row>
    <row r="16" spans="1:87" s="2" customFormat="1" x14ac:dyDescent="0.2">
      <c r="A16" s="221" t="s">
        <v>31</v>
      </c>
      <c r="B16" s="57">
        <v>13023</v>
      </c>
      <c r="C16" s="57">
        <v>24841</v>
      </c>
      <c r="D16" s="5">
        <f t="shared" ref="D16:S16" si="5">D8-D13</f>
        <v>2671</v>
      </c>
      <c r="E16" s="5">
        <f t="shared" si="5"/>
        <v>-1295</v>
      </c>
      <c r="F16" s="5">
        <f t="shared" si="5"/>
        <v>6616</v>
      </c>
      <c r="G16" s="33">
        <f t="shared" si="5"/>
        <v>-14386</v>
      </c>
      <c r="H16" s="24">
        <f t="shared" si="5"/>
        <v>-6394</v>
      </c>
      <c r="I16" s="5">
        <f t="shared" si="5"/>
        <v>-800</v>
      </c>
      <c r="J16" s="33">
        <f t="shared" si="5"/>
        <v>-13676</v>
      </c>
      <c r="K16" s="5">
        <f t="shared" si="5"/>
        <v>-5449</v>
      </c>
      <c r="L16" s="33">
        <f t="shared" si="5"/>
        <v>5775</v>
      </c>
      <c r="M16" s="24">
        <f t="shared" si="5"/>
        <v>-14150</v>
      </c>
      <c r="N16" s="5">
        <f t="shared" si="5"/>
        <v>-50262</v>
      </c>
      <c r="O16" s="33">
        <f t="shared" si="5"/>
        <v>-93685</v>
      </c>
      <c r="P16" s="33">
        <f t="shared" si="5"/>
        <v>2890</v>
      </c>
      <c r="Q16" s="33">
        <f t="shared" si="5"/>
        <v>-27066</v>
      </c>
      <c r="R16" s="24">
        <f t="shared" si="5"/>
        <v>-168123</v>
      </c>
      <c r="S16" s="233">
        <f t="shared" si="5"/>
        <v>17194</v>
      </c>
      <c r="T16" s="137"/>
      <c r="U16" s="137"/>
      <c r="V16" s="137"/>
      <c r="W16" s="137"/>
      <c r="X16" s="137"/>
      <c r="Y16" s="137"/>
      <c r="Z16" s="137"/>
      <c r="AA16" s="137"/>
      <c r="AB16" s="137"/>
      <c r="AC16" s="137"/>
      <c r="AD16" s="137"/>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row>
    <row r="17" spans="1:87" s="4" customFormat="1" x14ac:dyDescent="0.2">
      <c r="A17" s="223" t="s">
        <v>32</v>
      </c>
      <c r="B17" s="61">
        <v>3.7879801511352597E-2</v>
      </c>
      <c r="C17" s="61">
        <v>5.9135663749678623E-2</v>
      </c>
      <c r="D17" s="88">
        <f t="shared" ref="D17:S17" si="6">D16/D5</f>
        <v>2.3063638718590795E-2</v>
      </c>
      <c r="E17" s="88">
        <f t="shared" si="6"/>
        <v>-1.152524874957726E-2</v>
      </c>
      <c r="F17" s="88">
        <f t="shared" si="6"/>
        <v>5.0566735709317703E-2</v>
      </c>
      <c r="G17" s="88">
        <f t="shared" si="6"/>
        <v>-8.3712052883020763E-2</v>
      </c>
      <c r="H17" s="96">
        <f t="shared" si="6"/>
        <v>-1.2044606864333346E-2</v>
      </c>
      <c r="I17" s="88">
        <f t="shared" si="6"/>
        <v>-5.4361859719220997E-3</v>
      </c>
      <c r="J17" s="88">
        <f t="shared" si="6"/>
        <v>-9.6815070190217969E-2</v>
      </c>
      <c r="K17" s="88">
        <f t="shared" si="6"/>
        <v>-3.2738131000588797E-2</v>
      </c>
      <c r="L17" s="88">
        <f t="shared" si="6"/>
        <v>2.553727779251791E-2</v>
      </c>
      <c r="M17" s="96">
        <f t="shared" si="6"/>
        <v>-2.0778175720224435E-2</v>
      </c>
      <c r="N17" s="88">
        <f t="shared" si="6"/>
        <v>-0.25772873412334185</v>
      </c>
      <c r="O17" s="88">
        <f t="shared" si="6"/>
        <v>-0.42818620169565119</v>
      </c>
      <c r="P17" s="88">
        <f t="shared" si="6"/>
        <v>1.2457487208445228E-2</v>
      </c>
      <c r="Q17" s="88">
        <f t="shared" si="6"/>
        <v>-0.12439676805559385</v>
      </c>
      <c r="R17" s="96">
        <f t="shared" si="6"/>
        <v>-0.19472631433862919</v>
      </c>
      <c r="S17" s="229">
        <f t="shared" si="6"/>
        <v>6.705248297754518E-2</v>
      </c>
      <c r="T17" s="139"/>
      <c r="U17" s="139"/>
      <c r="V17" s="139"/>
      <c r="W17" s="139"/>
      <c r="X17" s="139"/>
      <c r="Y17" s="139"/>
      <c r="Z17" s="139"/>
      <c r="AA17" s="139"/>
      <c r="AB17" s="139"/>
      <c r="AC17" s="139"/>
      <c r="AD17" s="139"/>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row>
    <row r="18" spans="1:87" s="3" customFormat="1" x14ac:dyDescent="0.2">
      <c r="A18" s="225" t="s">
        <v>33</v>
      </c>
      <c r="B18" s="59">
        <v>2738</v>
      </c>
      <c r="C18" s="59">
        <v>3263</v>
      </c>
      <c r="D18" s="31">
        <v>2313</v>
      </c>
      <c r="E18" s="21">
        <v>1845</v>
      </c>
      <c r="F18" s="31">
        <v>1820</v>
      </c>
      <c r="G18" s="31">
        <v>2486</v>
      </c>
      <c r="H18" s="23">
        <f>SUM(D18:G18)</f>
        <v>8464</v>
      </c>
      <c r="I18" s="31">
        <v>941</v>
      </c>
      <c r="J18" s="31">
        <v>1613</v>
      </c>
      <c r="K18" s="21">
        <v>2040</v>
      </c>
      <c r="L18" s="21">
        <v>3265</v>
      </c>
      <c r="M18" s="23">
        <f>SUM(I18:L18)</f>
        <v>7859</v>
      </c>
      <c r="N18" s="31">
        <v>585</v>
      </c>
      <c r="O18" s="31">
        <v>41841</v>
      </c>
      <c r="P18" s="3">
        <v>-5530</v>
      </c>
      <c r="Q18" s="3">
        <v>-10148</v>
      </c>
      <c r="R18" s="23">
        <f>SUM(N18:Q18)</f>
        <v>26748</v>
      </c>
      <c r="S18" s="226">
        <v>55299</v>
      </c>
      <c r="T18" s="137"/>
      <c r="U18" s="137"/>
      <c r="V18" s="137"/>
      <c r="W18" s="137"/>
      <c r="X18" s="137"/>
      <c r="Y18" s="137"/>
      <c r="Z18" s="137"/>
      <c r="AA18" s="137"/>
      <c r="AB18" s="137"/>
      <c r="AC18" s="137"/>
      <c r="AD18" s="137"/>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row>
    <row r="19" spans="1:87" s="2" customFormat="1" x14ac:dyDescent="0.2">
      <c r="A19" s="221" t="s">
        <v>34</v>
      </c>
      <c r="B19" s="57">
        <v>15761</v>
      </c>
      <c r="C19" s="57">
        <v>28104</v>
      </c>
      <c r="D19" s="5">
        <f t="shared" ref="D19:S19" si="7">D16+D18</f>
        <v>4984</v>
      </c>
      <c r="E19" s="5">
        <f t="shared" si="7"/>
        <v>550</v>
      </c>
      <c r="F19" s="5">
        <f t="shared" si="7"/>
        <v>8436</v>
      </c>
      <c r="G19" s="5">
        <f t="shared" si="7"/>
        <v>-11900</v>
      </c>
      <c r="H19" s="24">
        <f t="shared" si="7"/>
        <v>2070</v>
      </c>
      <c r="I19" s="33">
        <f t="shared" si="7"/>
        <v>141</v>
      </c>
      <c r="J19" s="33">
        <f t="shared" si="7"/>
        <v>-12063</v>
      </c>
      <c r="K19" s="20">
        <f t="shared" si="7"/>
        <v>-3409</v>
      </c>
      <c r="L19" s="20">
        <f t="shared" si="7"/>
        <v>9040</v>
      </c>
      <c r="M19" s="24">
        <f t="shared" si="7"/>
        <v>-6291</v>
      </c>
      <c r="N19" s="33">
        <f t="shared" si="7"/>
        <v>-49677</v>
      </c>
      <c r="O19" s="33">
        <f t="shared" si="7"/>
        <v>-51844</v>
      </c>
      <c r="P19" s="33">
        <f t="shared" si="7"/>
        <v>-2640</v>
      </c>
      <c r="Q19" s="33">
        <f t="shared" si="7"/>
        <v>-37214</v>
      </c>
      <c r="R19" s="24">
        <f t="shared" si="7"/>
        <v>-141375</v>
      </c>
      <c r="S19" s="233">
        <f t="shared" si="7"/>
        <v>72493</v>
      </c>
      <c r="T19" s="137"/>
      <c r="U19" s="137"/>
      <c r="V19" s="137"/>
      <c r="W19" s="137"/>
      <c r="X19" s="137"/>
      <c r="Y19" s="137"/>
      <c r="Z19" s="137"/>
      <c r="AA19" s="137"/>
      <c r="AB19" s="137"/>
      <c r="AC19" s="137"/>
      <c r="AD19" s="137"/>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row>
    <row r="20" spans="1:87" s="2" customFormat="1" x14ac:dyDescent="0.2">
      <c r="A20" s="221" t="s">
        <v>35</v>
      </c>
      <c r="B20" s="57">
        <v>10554</v>
      </c>
      <c r="C20" s="57">
        <v>-1101</v>
      </c>
      <c r="D20" s="33">
        <v>-1435</v>
      </c>
      <c r="E20" s="20">
        <v>-188</v>
      </c>
      <c r="F20" s="33">
        <v>2332</v>
      </c>
      <c r="G20" s="33">
        <v>479</v>
      </c>
      <c r="H20" s="24">
        <f>SUM(D20:G20)</f>
        <v>1188</v>
      </c>
      <c r="I20" s="33">
        <v>-3933</v>
      </c>
      <c r="J20" s="33">
        <v>18696</v>
      </c>
      <c r="K20" s="20">
        <v>-2536</v>
      </c>
      <c r="L20" s="20">
        <v>-16794</v>
      </c>
      <c r="M20" s="24">
        <f>SUM(I20:L20)</f>
        <v>-4567</v>
      </c>
      <c r="N20" s="33">
        <v>-1760</v>
      </c>
      <c r="O20" s="33">
        <v>-4727</v>
      </c>
      <c r="P20" s="5">
        <v>-51164</v>
      </c>
      <c r="Q20" s="5">
        <v>-23706</v>
      </c>
      <c r="R20" s="24">
        <f>SUM(N20:Q20)</f>
        <v>-81357</v>
      </c>
      <c r="S20" s="227">
        <v>17622</v>
      </c>
      <c r="T20" s="137"/>
      <c r="U20" s="137"/>
      <c r="V20" s="137"/>
      <c r="W20" s="137"/>
      <c r="X20" s="137"/>
      <c r="Y20" s="137"/>
      <c r="Z20" s="137"/>
      <c r="AA20" s="137"/>
      <c r="AB20" s="137"/>
      <c r="AC20" s="137"/>
      <c r="AD20" s="137"/>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row>
    <row r="21" spans="1:87" s="6" customFormat="1" x14ac:dyDescent="0.2">
      <c r="A21" s="234" t="s">
        <v>36</v>
      </c>
      <c r="B21" s="193">
        <v>5207</v>
      </c>
      <c r="C21" s="193">
        <v>29205</v>
      </c>
      <c r="D21" s="186">
        <f t="shared" ref="D21:S21" si="8">D19-D20</f>
        <v>6419</v>
      </c>
      <c r="E21" s="186">
        <f t="shared" si="8"/>
        <v>738</v>
      </c>
      <c r="F21" s="186">
        <f t="shared" si="8"/>
        <v>6104</v>
      </c>
      <c r="G21" s="186">
        <f t="shared" si="8"/>
        <v>-12379</v>
      </c>
      <c r="H21" s="194">
        <f t="shared" si="8"/>
        <v>882</v>
      </c>
      <c r="I21" s="186">
        <f t="shared" si="8"/>
        <v>4074</v>
      </c>
      <c r="J21" s="186">
        <f t="shared" si="8"/>
        <v>-30759</v>
      </c>
      <c r="K21" s="186">
        <f t="shared" si="8"/>
        <v>-873</v>
      </c>
      <c r="L21" s="186">
        <f t="shared" si="8"/>
        <v>25834</v>
      </c>
      <c r="M21" s="194">
        <f t="shared" si="8"/>
        <v>-1724</v>
      </c>
      <c r="N21" s="186">
        <f t="shared" si="8"/>
        <v>-47917</v>
      </c>
      <c r="O21" s="186">
        <f t="shared" si="8"/>
        <v>-47117</v>
      </c>
      <c r="P21" s="186">
        <f t="shared" si="8"/>
        <v>48524</v>
      </c>
      <c r="Q21" s="186">
        <f t="shared" si="8"/>
        <v>-13508</v>
      </c>
      <c r="R21" s="194">
        <f t="shared" ref="R21" si="9">R19-R20</f>
        <v>-60018</v>
      </c>
      <c r="S21" s="235">
        <f t="shared" si="8"/>
        <v>54871</v>
      </c>
      <c r="T21" s="137"/>
      <c r="U21" s="137"/>
      <c r="V21" s="137"/>
      <c r="W21" s="137"/>
      <c r="X21" s="137"/>
      <c r="Y21" s="137"/>
      <c r="Z21" s="137"/>
      <c r="AA21" s="137"/>
      <c r="AB21" s="137"/>
      <c r="AC21" s="137"/>
      <c r="AD21" s="137"/>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row>
    <row r="22" spans="1:87" s="7" customFormat="1" x14ac:dyDescent="0.2">
      <c r="A22" s="236" t="s">
        <v>37</v>
      </c>
      <c r="B22" s="64">
        <v>9.6608408475268095E-2</v>
      </c>
      <c r="C22" s="64">
        <v>0.50421256172093509</v>
      </c>
      <c r="D22" s="89">
        <f t="shared" ref="D22:E22" si="10">D21/D23</f>
        <v>0.10742916436544996</v>
      </c>
      <c r="E22" s="89">
        <f t="shared" si="10"/>
        <v>1.23E-2</v>
      </c>
      <c r="F22" s="89">
        <f t="shared" ref="F22:J22" si="11">F21/F23</f>
        <v>0.10163339382940109</v>
      </c>
      <c r="G22" s="89">
        <f t="shared" si="11"/>
        <v>-0.20849193249570519</v>
      </c>
      <c r="H22" s="99">
        <f t="shared" si="11"/>
        <v>1.4695591322603219E-2</v>
      </c>
      <c r="I22" s="100">
        <f t="shared" si="11"/>
        <v>6.7457032155512131E-2</v>
      </c>
      <c r="J22" s="100">
        <f t="shared" si="11"/>
        <v>-0.50971066847844104</v>
      </c>
      <c r="K22" s="89">
        <f t="shared" ref="K22:S22" si="12">K21/K23</f>
        <v>-1.3748897568350762E-2</v>
      </c>
      <c r="L22" s="89">
        <f t="shared" si="12"/>
        <v>0.39524494354517914</v>
      </c>
      <c r="M22" s="99">
        <f t="shared" si="12"/>
        <v>-2.7904567673432391E-2</v>
      </c>
      <c r="N22" s="100">
        <f t="shared" si="12"/>
        <v>-0.74828221625335745</v>
      </c>
      <c r="O22" s="100">
        <f t="shared" si="12"/>
        <v>-0.72303041463339779</v>
      </c>
      <c r="P22" s="100">
        <f>P21/P23</f>
        <v>0.66984166425090763</v>
      </c>
      <c r="Q22" s="100">
        <f t="shared" si="12"/>
        <v>-0.1948925119030443</v>
      </c>
      <c r="R22" s="99">
        <f t="shared" ref="R22" si="13">R21/R23</f>
        <v>-0.90673958695290902</v>
      </c>
      <c r="S22" s="237">
        <f t="shared" si="12"/>
        <v>0.75842098715946316</v>
      </c>
      <c r="T22" s="145"/>
      <c r="U22" s="145"/>
      <c r="V22" s="145"/>
      <c r="W22" s="145"/>
      <c r="X22" s="145"/>
      <c r="Y22" s="145"/>
      <c r="Z22" s="145"/>
      <c r="AA22" s="145"/>
      <c r="AB22" s="145"/>
      <c r="AC22" s="145"/>
      <c r="AD22" s="145"/>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146"/>
      <c r="CD22" s="146"/>
      <c r="CE22" s="146"/>
      <c r="CF22" s="146"/>
      <c r="CG22" s="146"/>
      <c r="CH22" s="146"/>
      <c r="CI22" s="146"/>
    </row>
    <row r="23" spans="1:87" s="2" customFormat="1" x14ac:dyDescent="0.2">
      <c r="A23" s="221" t="s">
        <v>38</v>
      </c>
      <c r="B23" s="57">
        <v>53898</v>
      </c>
      <c r="C23" s="60">
        <v>57922</v>
      </c>
      <c r="D23" s="33">
        <v>59751</v>
      </c>
      <c r="E23" s="33">
        <v>60000</v>
      </c>
      <c r="F23" s="33">
        <v>60059</v>
      </c>
      <c r="G23" s="33">
        <v>59374</v>
      </c>
      <c r="H23" s="34">
        <v>60018</v>
      </c>
      <c r="I23" s="33">
        <v>60394</v>
      </c>
      <c r="J23" s="33">
        <v>60346</v>
      </c>
      <c r="K23" s="20">
        <v>63496</v>
      </c>
      <c r="L23" s="20">
        <v>65362</v>
      </c>
      <c r="M23" s="131">
        <v>61782</v>
      </c>
      <c r="N23" s="33">
        <v>64036</v>
      </c>
      <c r="O23" s="33">
        <v>65166</v>
      </c>
      <c r="P23" s="33">
        <v>72441</v>
      </c>
      <c r="Q23" s="33">
        <v>69310</v>
      </c>
      <c r="R23" s="131">
        <v>66191</v>
      </c>
      <c r="S23" s="233">
        <v>72349</v>
      </c>
      <c r="T23" s="137"/>
      <c r="U23" s="137"/>
      <c r="V23" s="137"/>
      <c r="W23" s="137"/>
      <c r="X23" s="137"/>
      <c r="Y23" s="137"/>
      <c r="Z23" s="137"/>
      <c r="AA23" s="137"/>
      <c r="AB23" s="137"/>
      <c r="AC23" s="137"/>
      <c r="AD23" s="137"/>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row>
    <row r="24" spans="1:87" s="14" customFormat="1" x14ac:dyDescent="0.2">
      <c r="A24" s="238" t="s">
        <v>39</v>
      </c>
      <c r="B24" s="66">
        <v>6.7618051404662281E-3</v>
      </c>
      <c r="C24" s="66">
        <v>7.4659542098037032E-2</v>
      </c>
      <c r="D24" s="101">
        <f>(D23-C23)/C23</f>
        <v>3.1576948309795932E-2</v>
      </c>
      <c r="E24" s="101">
        <f>(E23-D23)/D23</f>
        <v>4.1672942712255865E-3</v>
      </c>
      <c r="F24" s="101">
        <f t="shared" ref="F24" si="14">(F23-E23)/E23</f>
        <v>9.8333333333333324E-4</v>
      </c>
      <c r="G24" s="101">
        <f>(G23-F23)/F23</f>
        <v>-1.1405451306215555E-2</v>
      </c>
      <c r="H24" s="102">
        <f>(H23-C23)/C23</f>
        <v>3.6186595766720765E-2</v>
      </c>
      <c r="I24" s="101">
        <f>(I23-G23)/G23</f>
        <v>1.7179236702933944E-2</v>
      </c>
      <c r="J24" s="101">
        <f>(J23-I23)/I23</f>
        <v>-7.9478093850382492E-4</v>
      </c>
      <c r="K24" s="101">
        <f>(K23-J23)/J23</f>
        <v>5.2198985848274947E-2</v>
      </c>
      <c r="L24" s="101">
        <f>(L23-K23)/K23</f>
        <v>2.9387677963966234E-2</v>
      </c>
      <c r="M24" s="102">
        <f>(M23-H23)/H23</f>
        <v>2.9391182645206439E-2</v>
      </c>
      <c r="N24" s="101">
        <f>(N23-L23)/L23</f>
        <v>-2.0287016921146844E-2</v>
      </c>
      <c r="O24" s="101">
        <f>(O23-N23)/N23</f>
        <v>1.7646323942782184E-2</v>
      </c>
      <c r="P24" s="101">
        <f>(P23-O23)/O23</f>
        <v>0.1116379707209281</v>
      </c>
      <c r="Q24" s="101">
        <f>(Q23-P23)/P23</f>
        <v>-4.3221380157645532E-2</v>
      </c>
      <c r="R24" s="102">
        <f>(R23-M23)/M23</f>
        <v>7.1363827652066947E-2</v>
      </c>
      <c r="S24" s="239">
        <f>(S23-Q23)/Q23</f>
        <v>4.3846486798441782E-2</v>
      </c>
      <c r="T24" s="147"/>
      <c r="U24" s="147"/>
      <c r="V24" s="147"/>
      <c r="W24" s="147"/>
      <c r="X24" s="147"/>
      <c r="Y24" s="147"/>
      <c r="Z24" s="147"/>
      <c r="AA24" s="147"/>
      <c r="AB24" s="147"/>
      <c r="AC24" s="147"/>
      <c r="AD24" s="147"/>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row>
    <row r="25" spans="1:87" x14ac:dyDescent="0.2">
      <c r="A25" s="240"/>
      <c r="D25" s="241"/>
      <c r="E25" s="242"/>
      <c r="F25" s="103"/>
      <c r="G25" s="242"/>
      <c r="H25" s="243"/>
      <c r="I25" s="242"/>
      <c r="J25" s="242"/>
      <c r="K25" s="242"/>
      <c r="L25" s="242"/>
      <c r="M25" s="244"/>
      <c r="N25" s="242"/>
      <c r="O25" s="242"/>
      <c r="P25" s="245"/>
      <c r="Q25" s="245"/>
      <c r="R25" s="244"/>
      <c r="S25" s="246"/>
    </row>
    <row r="26" spans="1:87" s="44" customFormat="1" ht="40.5" customHeight="1" x14ac:dyDescent="0.25">
      <c r="A26" s="247" t="s">
        <v>40</v>
      </c>
      <c r="B26" s="68"/>
      <c r="C26" s="68"/>
      <c r="D26" s="104"/>
      <c r="E26" s="104"/>
      <c r="F26" s="104"/>
      <c r="G26" s="217"/>
      <c r="H26" s="217"/>
      <c r="I26" s="217"/>
      <c r="J26" s="217"/>
      <c r="K26" s="217"/>
      <c r="L26" s="217"/>
      <c r="M26" s="217"/>
      <c r="N26" s="217"/>
      <c r="O26" s="217"/>
      <c r="P26" s="217"/>
      <c r="Q26" s="217"/>
      <c r="R26" s="217"/>
      <c r="S26" s="220"/>
      <c r="T26" s="135"/>
      <c r="U26" s="135"/>
      <c r="V26" s="135"/>
      <c r="W26" s="135"/>
      <c r="X26" s="135"/>
      <c r="Y26" s="135"/>
      <c r="Z26" s="135"/>
      <c r="AA26" s="135"/>
      <c r="AB26" s="135"/>
      <c r="AC26" s="135"/>
      <c r="AD26" s="135"/>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row>
    <row r="27" spans="1:87" x14ac:dyDescent="0.2">
      <c r="A27" s="248" t="s">
        <v>41</v>
      </c>
      <c r="D27" s="249"/>
      <c r="E27" s="250"/>
      <c r="F27" s="250"/>
      <c r="G27" s="242"/>
      <c r="H27" s="243"/>
      <c r="I27" s="242"/>
      <c r="J27" s="242"/>
      <c r="K27" s="242"/>
      <c r="L27" s="242"/>
      <c r="M27" s="244"/>
      <c r="N27" s="242"/>
      <c r="O27" s="242"/>
      <c r="P27" s="245"/>
      <c r="Q27" s="245"/>
      <c r="R27" s="244"/>
      <c r="S27" s="246"/>
    </row>
    <row r="28" spans="1:87" x14ac:dyDescent="0.2">
      <c r="A28" s="240" t="s">
        <v>42</v>
      </c>
      <c r="B28" s="69">
        <v>5207</v>
      </c>
      <c r="C28" s="69">
        <v>29205</v>
      </c>
      <c r="D28" s="105">
        <f t="shared" ref="D28:L28" si="15">D21</f>
        <v>6419</v>
      </c>
      <c r="E28" s="105">
        <f t="shared" si="15"/>
        <v>738</v>
      </c>
      <c r="F28" s="105">
        <f t="shared" si="15"/>
        <v>6104</v>
      </c>
      <c r="G28" s="105">
        <f t="shared" si="15"/>
        <v>-12379</v>
      </c>
      <c r="H28" s="251">
        <f>SUM(D28:G28)</f>
        <v>882</v>
      </c>
      <c r="I28" s="105">
        <f t="shared" si="15"/>
        <v>4074</v>
      </c>
      <c r="J28" s="105">
        <f t="shared" si="15"/>
        <v>-30759</v>
      </c>
      <c r="K28" s="105">
        <f t="shared" si="15"/>
        <v>-873</v>
      </c>
      <c r="L28" s="105">
        <f t="shared" si="15"/>
        <v>25834</v>
      </c>
      <c r="M28" s="251">
        <f>SUM(I28:L28)</f>
        <v>-1724</v>
      </c>
      <c r="N28" s="105">
        <f t="shared" ref="N28:O28" si="16">N21</f>
        <v>-47917</v>
      </c>
      <c r="O28" s="105">
        <f t="shared" si="16"/>
        <v>-47117</v>
      </c>
      <c r="P28" s="105">
        <v>48524</v>
      </c>
      <c r="Q28" s="105">
        <v>-13508</v>
      </c>
      <c r="R28" s="251">
        <f>SUM(N28:Q28)</f>
        <v>-60018</v>
      </c>
      <c r="S28" s="252">
        <f>S21</f>
        <v>54871</v>
      </c>
    </row>
    <row r="29" spans="1:87" x14ac:dyDescent="0.2">
      <c r="A29" s="240" t="s">
        <v>43</v>
      </c>
      <c r="D29" s="249"/>
      <c r="E29" s="242"/>
      <c r="F29" s="242"/>
      <c r="G29" s="242"/>
      <c r="H29" s="253"/>
      <c r="I29" s="242"/>
      <c r="J29" s="242"/>
      <c r="K29" s="242"/>
      <c r="L29" s="242"/>
      <c r="M29" s="244"/>
      <c r="N29" s="242"/>
      <c r="O29" s="242"/>
      <c r="P29" s="105"/>
      <c r="Q29" s="105"/>
      <c r="R29" s="244"/>
      <c r="S29" s="246"/>
    </row>
    <row r="30" spans="1:87" s="2" customFormat="1" x14ac:dyDescent="0.2">
      <c r="A30" s="254" t="s">
        <v>44</v>
      </c>
      <c r="B30" s="57">
        <v>15610</v>
      </c>
      <c r="C30" s="57">
        <v>21879</v>
      </c>
      <c r="D30" s="33">
        <v>7905</v>
      </c>
      <c r="E30" s="33">
        <f>E123</f>
        <v>8627</v>
      </c>
      <c r="F30" s="33">
        <v>13663</v>
      </c>
      <c r="G30" s="33">
        <v>48300</v>
      </c>
      <c r="H30" s="24">
        <f t="shared" ref="H30:H36" si="17">SUM(D30:G30)</f>
        <v>78495</v>
      </c>
      <c r="I30" s="33">
        <f>I67</f>
        <v>20195</v>
      </c>
      <c r="J30" s="33">
        <f>J67</f>
        <v>33835</v>
      </c>
      <c r="K30" s="20">
        <v>26094</v>
      </c>
      <c r="L30" s="20">
        <v>53448</v>
      </c>
      <c r="M30" s="34">
        <f>SUM(I30:L30)</f>
        <v>133572</v>
      </c>
      <c r="N30" s="33">
        <f>N67</f>
        <v>89610</v>
      </c>
      <c r="O30" s="33">
        <v>137549</v>
      </c>
      <c r="P30" s="105">
        <v>35062</v>
      </c>
      <c r="Q30" s="105">
        <v>41110</v>
      </c>
      <c r="R30" s="34">
        <f>SUM(N30:Q30)</f>
        <v>303331</v>
      </c>
      <c r="S30" s="227">
        <v>25088</v>
      </c>
      <c r="T30" s="137"/>
      <c r="U30" s="137"/>
      <c r="V30" s="137"/>
      <c r="W30" s="137"/>
      <c r="X30" s="137"/>
      <c r="Y30" s="137"/>
      <c r="Z30" s="137"/>
      <c r="AA30" s="137"/>
      <c r="AB30" s="137"/>
      <c r="AC30" s="137"/>
      <c r="AD30" s="137"/>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row>
    <row r="31" spans="1:87" s="2" customFormat="1" x14ac:dyDescent="0.2">
      <c r="A31" s="254" t="s">
        <v>45</v>
      </c>
      <c r="B31" s="57">
        <v>1146</v>
      </c>
      <c r="C31" s="57">
        <v>2117</v>
      </c>
      <c r="D31" s="33">
        <v>18</v>
      </c>
      <c r="E31" s="33"/>
      <c r="F31" s="33">
        <v>33</v>
      </c>
      <c r="G31" s="33">
        <v>16</v>
      </c>
      <c r="H31" s="24">
        <f t="shared" si="17"/>
        <v>67</v>
      </c>
      <c r="I31" s="33">
        <v>13</v>
      </c>
      <c r="J31" s="33">
        <v>100</v>
      </c>
      <c r="K31" s="20">
        <v>139</v>
      </c>
      <c r="L31" s="20">
        <v>68</v>
      </c>
      <c r="M31" s="34">
        <f t="shared" ref="M31:M32" si="18">SUM(I31:L31)</f>
        <v>320</v>
      </c>
      <c r="N31" s="33">
        <v>11</v>
      </c>
      <c r="O31" s="33">
        <v>119</v>
      </c>
      <c r="P31" s="105">
        <v>0</v>
      </c>
      <c r="Q31" s="105">
        <v>16</v>
      </c>
      <c r="R31" s="34">
        <f t="shared" ref="R31:R32" si="19">SUM(N31:Q31)</f>
        <v>146</v>
      </c>
      <c r="S31" s="227">
        <v>40</v>
      </c>
      <c r="T31" s="137"/>
      <c r="U31" s="137"/>
      <c r="V31" s="137"/>
      <c r="W31" s="137"/>
      <c r="X31" s="137"/>
      <c r="Y31" s="137"/>
      <c r="Z31" s="137"/>
      <c r="AA31" s="137"/>
      <c r="AB31" s="137"/>
      <c r="AC31" s="137"/>
      <c r="AD31" s="137"/>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row>
    <row r="32" spans="1:87" s="2" customFormat="1" x14ac:dyDescent="0.2">
      <c r="A32" s="254" t="s">
        <v>46</v>
      </c>
      <c r="B32" s="57"/>
      <c r="C32" s="57">
        <v>303</v>
      </c>
      <c r="D32" s="33">
        <v>242</v>
      </c>
      <c r="E32" s="33">
        <v>1321</v>
      </c>
      <c r="F32" s="33">
        <v>845</v>
      </c>
      <c r="G32" s="33">
        <v>134</v>
      </c>
      <c r="H32" s="24">
        <f t="shared" si="17"/>
        <v>2542</v>
      </c>
      <c r="I32" s="33">
        <v>517</v>
      </c>
      <c r="J32" s="33">
        <v>788</v>
      </c>
      <c r="K32" s="20">
        <v>124</v>
      </c>
      <c r="L32" s="20">
        <v>293</v>
      </c>
      <c r="M32" s="34">
        <f t="shared" si="18"/>
        <v>1722</v>
      </c>
      <c r="N32" s="33">
        <v>45</v>
      </c>
      <c r="O32" s="33">
        <v>-2</v>
      </c>
      <c r="P32" s="105">
        <v>31</v>
      </c>
      <c r="Q32" s="105">
        <v>18</v>
      </c>
      <c r="R32" s="34">
        <f t="shared" si="19"/>
        <v>92</v>
      </c>
      <c r="S32" s="227">
        <v>106</v>
      </c>
      <c r="T32" s="137"/>
      <c r="U32" s="137"/>
      <c r="V32" s="137"/>
      <c r="W32" s="137"/>
      <c r="X32" s="137"/>
      <c r="Y32" s="137"/>
      <c r="Z32" s="137"/>
      <c r="AA32" s="137"/>
      <c r="AB32" s="137"/>
      <c r="AC32" s="137"/>
      <c r="AD32" s="137"/>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row>
    <row r="33" spans="1:87" s="2" customFormat="1" x14ac:dyDescent="0.2">
      <c r="A33" s="255" t="s">
        <v>47</v>
      </c>
      <c r="B33" s="57"/>
      <c r="C33" s="57"/>
      <c r="D33" s="33"/>
      <c r="E33" s="33"/>
      <c r="F33" s="33"/>
      <c r="G33" s="33">
        <f>G54</f>
        <v>240</v>
      </c>
      <c r="H33" s="24">
        <f t="shared" si="17"/>
        <v>240</v>
      </c>
      <c r="I33" s="33">
        <v>6135</v>
      </c>
      <c r="J33" s="33">
        <v>3834</v>
      </c>
      <c r="K33" s="20">
        <v>8573</v>
      </c>
      <c r="L33" s="20">
        <v>522</v>
      </c>
      <c r="M33" s="34">
        <f>SUM(I33:L33)</f>
        <v>19064</v>
      </c>
      <c r="N33" s="33">
        <v>233</v>
      </c>
      <c r="O33" s="33">
        <v>147</v>
      </c>
      <c r="P33" s="105">
        <v>242</v>
      </c>
      <c r="Q33" s="105">
        <v>119</v>
      </c>
      <c r="R33" s="34">
        <f>SUM(N33:Q33)</f>
        <v>741</v>
      </c>
      <c r="S33" s="227">
        <v>4</v>
      </c>
      <c r="T33" s="137"/>
      <c r="U33" s="137"/>
      <c r="V33" s="137"/>
      <c r="W33" s="137"/>
      <c r="X33" s="137"/>
      <c r="Y33" s="137"/>
      <c r="Z33" s="137"/>
      <c r="AA33" s="137"/>
      <c r="AB33" s="137"/>
      <c r="AC33" s="137"/>
      <c r="AD33" s="137"/>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row>
    <row r="34" spans="1:87" s="2" customFormat="1" ht="16" x14ac:dyDescent="0.2">
      <c r="A34" s="256" t="s">
        <v>48</v>
      </c>
      <c r="B34" s="57">
        <v>290</v>
      </c>
      <c r="C34" s="57">
        <v>1382</v>
      </c>
      <c r="D34" s="33"/>
      <c r="E34" s="33"/>
      <c r="F34" s="98"/>
      <c r="G34" s="33"/>
      <c r="H34" s="24">
        <f t="shared" si="17"/>
        <v>0</v>
      </c>
      <c r="I34" s="33">
        <v>833</v>
      </c>
      <c r="J34" s="33">
        <v>90</v>
      </c>
      <c r="K34" s="20"/>
      <c r="L34" s="20">
        <v>109</v>
      </c>
      <c r="M34" s="34">
        <f t="shared" ref="M34:M36" si="20">SUM(I34:L34)</f>
        <v>1032</v>
      </c>
      <c r="N34" s="33">
        <v>385</v>
      </c>
      <c r="O34" s="33">
        <v>110</v>
      </c>
      <c r="P34" s="105">
        <v>393</v>
      </c>
      <c r="Q34" s="105">
        <v>1180</v>
      </c>
      <c r="R34" s="34">
        <f t="shared" ref="R34:R36" si="21">SUM(N34:Q34)</f>
        <v>2068</v>
      </c>
      <c r="S34" s="227">
        <v>871</v>
      </c>
      <c r="T34" s="137"/>
      <c r="U34" s="137"/>
      <c r="V34" s="137"/>
      <c r="W34" s="137"/>
      <c r="X34" s="137"/>
      <c r="Y34" s="137"/>
      <c r="Z34" s="137"/>
      <c r="AA34" s="137"/>
      <c r="AB34" s="137"/>
      <c r="AC34" s="137"/>
      <c r="AD34" s="137"/>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row>
    <row r="35" spans="1:87" s="2" customFormat="1" x14ac:dyDescent="0.2">
      <c r="A35" s="255" t="s">
        <v>49</v>
      </c>
      <c r="B35" s="57">
        <v>8012</v>
      </c>
      <c r="C35" s="57">
        <v>0</v>
      </c>
      <c r="D35" s="33"/>
      <c r="E35" s="33"/>
      <c r="F35" s="98"/>
      <c r="G35" s="33"/>
      <c r="H35" s="24">
        <f t="shared" si="17"/>
        <v>0</v>
      </c>
      <c r="I35" s="33"/>
      <c r="J35" s="33"/>
      <c r="K35" s="20"/>
      <c r="L35" s="20">
        <v>0</v>
      </c>
      <c r="M35" s="34">
        <f t="shared" si="20"/>
        <v>0</v>
      </c>
      <c r="N35" s="33">
        <v>0</v>
      </c>
      <c r="O35" s="33">
        <v>0</v>
      </c>
      <c r="P35" s="33">
        <v>0</v>
      </c>
      <c r="Q35" s="33">
        <v>0</v>
      </c>
      <c r="R35" s="34">
        <f t="shared" si="21"/>
        <v>0</v>
      </c>
      <c r="S35" s="227"/>
      <c r="T35" s="137"/>
      <c r="U35" s="137"/>
      <c r="V35" s="137"/>
      <c r="W35" s="137"/>
      <c r="X35" s="137"/>
      <c r="Y35" s="137"/>
      <c r="Z35" s="137"/>
      <c r="AA35" s="137"/>
      <c r="AB35" s="137"/>
      <c r="AC35" s="137"/>
      <c r="AD35" s="137"/>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row>
    <row r="36" spans="1:87" s="2" customFormat="1" x14ac:dyDescent="0.2">
      <c r="A36" s="255" t="s">
        <v>50</v>
      </c>
      <c r="B36" s="57"/>
      <c r="C36" s="57">
        <v>-5683</v>
      </c>
      <c r="D36" s="33"/>
      <c r="E36" s="33"/>
      <c r="F36" s="98"/>
      <c r="G36" s="33"/>
      <c r="H36" s="24">
        <f t="shared" si="17"/>
        <v>0</v>
      </c>
      <c r="I36" s="33"/>
      <c r="J36" s="33"/>
      <c r="K36" s="20"/>
      <c r="L36" s="20">
        <v>0</v>
      </c>
      <c r="M36" s="34">
        <f t="shared" si="20"/>
        <v>0</v>
      </c>
      <c r="N36" s="33">
        <v>0</v>
      </c>
      <c r="O36" s="33">
        <v>0</v>
      </c>
      <c r="P36" s="33">
        <v>0</v>
      </c>
      <c r="Q36" s="33">
        <v>0</v>
      </c>
      <c r="R36" s="34">
        <f t="shared" si="21"/>
        <v>0</v>
      </c>
      <c r="S36" s="227">
        <v>0</v>
      </c>
      <c r="T36" s="137"/>
      <c r="U36" s="137"/>
      <c r="V36" s="137"/>
      <c r="W36" s="137"/>
      <c r="X36" s="137"/>
      <c r="Y36" s="137"/>
      <c r="Z36" s="137"/>
      <c r="AA36" s="137"/>
      <c r="AB36" s="137"/>
      <c r="AC36" s="137"/>
      <c r="AD36" s="137"/>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row>
    <row r="37" spans="1:87" s="2" customFormat="1" x14ac:dyDescent="0.2">
      <c r="A37" s="255" t="s">
        <v>51</v>
      </c>
      <c r="B37" s="57"/>
      <c r="C37" s="57"/>
      <c r="D37" s="33"/>
      <c r="E37" s="33"/>
      <c r="F37" s="98"/>
      <c r="G37" s="33"/>
      <c r="H37" s="24"/>
      <c r="I37" s="33"/>
      <c r="J37" s="33"/>
      <c r="K37" s="20"/>
      <c r="L37" s="20">
        <v>-2055</v>
      </c>
      <c r="M37" s="34">
        <f>SUM(I37:L37)</f>
        <v>-2055</v>
      </c>
      <c r="N37" s="33">
        <v>0</v>
      </c>
      <c r="O37" s="33">
        <v>-40855</v>
      </c>
      <c r="P37" s="5">
        <v>6660</v>
      </c>
      <c r="Q37" s="5">
        <v>11160</v>
      </c>
      <c r="R37" s="34">
        <f>SUM(N37:Q37)</f>
        <v>-23035</v>
      </c>
      <c r="S37" s="227">
        <v>-55851</v>
      </c>
      <c r="T37" s="137"/>
      <c r="U37" s="137"/>
      <c r="V37" s="137"/>
      <c r="W37" s="137"/>
      <c r="X37" s="137"/>
      <c r="Y37" s="137"/>
      <c r="Z37" s="137"/>
      <c r="AA37" s="137"/>
      <c r="AB37" s="137"/>
      <c r="AC37" s="137"/>
      <c r="AD37" s="137"/>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row>
    <row r="38" spans="1:87" s="2" customFormat="1" x14ac:dyDescent="0.2">
      <c r="A38" s="255" t="s">
        <v>52</v>
      </c>
      <c r="B38" s="57"/>
      <c r="C38" s="57"/>
      <c r="D38" s="33"/>
      <c r="E38" s="33"/>
      <c r="F38" s="98"/>
      <c r="G38" s="33"/>
      <c r="H38" s="24"/>
      <c r="I38" s="33"/>
      <c r="J38" s="33"/>
      <c r="K38" s="20"/>
      <c r="L38" s="20">
        <v>0</v>
      </c>
      <c r="M38" s="34">
        <f>SUM(I38:L38)</f>
        <v>0</v>
      </c>
      <c r="N38" s="33">
        <v>1452</v>
      </c>
      <c r="O38" s="33">
        <v>2217</v>
      </c>
      <c r="P38" s="105">
        <v>6069</v>
      </c>
      <c r="Q38" s="105">
        <v>9195</v>
      </c>
      <c r="R38" s="34">
        <f>SUM(N38:Q38)</f>
        <v>18933</v>
      </c>
      <c r="S38" s="227">
        <v>0</v>
      </c>
      <c r="T38" s="137"/>
      <c r="U38" s="137"/>
      <c r="V38" s="137"/>
      <c r="W38" s="137"/>
      <c r="X38" s="137"/>
      <c r="Y38" s="137"/>
      <c r="Z38" s="137"/>
      <c r="AA38" s="137"/>
      <c r="AB38" s="137"/>
      <c r="AC38" s="137"/>
      <c r="AD38" s="137"/>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row>
    <row r="39" spans="1:87" s="2" customFormat="1" x14ac:dyDescent="0.2">
      <c r="A39" s="255" t="s">
        <v>53</v>
      </c>
      <c r="B39" s="57">
        <v>-6406</v>
      </c>
      <c r="C39" s="57">
        <v>-6366</v>
      </c>
      <c r="D39" s="33">
        <v>-2016</v>
      </c>
      <c r="E39" s="33">
        <v>-2517</v>
      </c>
      <c r="F39" s="33">
        <v>-3654</v>
      </c>
      <c r="G39" s="33">
        <v>-11863</v>
      </c>
      <c r="H39" s="24">
        <v>-20068</v>
      </c>
      <c r="I39" s="33">
        <v>-7837</v>
      </c>
      <c r="J39" s="33">
        <v>-8530</v>
      </c>
      <c r="K39" s="20">
        <v>-8618</v>
      </c>
      <c r="L39" s="20">
        <v>-13172</v>
      </c>
      <c r="M39" s="24">
        <f>SUM(I39:L39)+1</f>
        <v>-38156</v>
      </c>
      <c r="N39" s="33">
        <v>-22780</v>
      </c>
      <c r="O39" s="33">
        <v>-24826</v>
      </c>
      <c r="P39" s="105">
        <v>-12064</v>
      </c>
      <c r="Q39" s="105">
        <v>-15605</v>
      </c>
      <c r="R39" s="24">
        <f>SUM(N39:Q39)+1</f>
        <v>-75274</v>
      </c>
      <c r="S39" s="227">
        <v>7405</v>
      </c>
      <c r="T39" s="137"/>
      <c r="U39" s="137"/>
      <c r="V39" s="137"/>
      <c r="W39" s="137"/>
      <c r="X39" s="137"/>
      <c r="Y39" s="137"/>
      <c r="Z39" s="137"/>
      <c r="AA39" s="137"/>
      <c r="AB39" s="137"/>
      <c r="AC39" s="137"/>
      <c r="AD39" s="137"/>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row>
    <row r="40" spans="1:87" s="10" customFormat="1" ht="17" x14ac:dyDescent="0.2">
      <c r="A40" s="257" t="s">
        <v>208</v>
      </c>
      <c r="B40" s="195">
        <f>SUM(B28:B39)</f>
        <v>23859</v>
      </c>
      <c r="C40" s="196">
        <f t="shared" ref="C40" si="22">SUM(C28:C39)</f>
        <v>42837</v>
      </c>
      <c r="D40" s="187">
        <f t="shared" ref="D40:E40" si="23">SUM(D28:D39)</f>
        <v>12568</v>
      </c>
      <c r="E40" s="187">
        <f t="shared" si="23"/>
        <v>8169</v>
      </c>
      <c r="F40" s="187">
        <f t="shared" ref="F40:G40" si="24">SUM(F28:F39)</f>
        <v>16991</v>
      </c>
      <c r="G40" s="187">
        <f t="shared" si="24"/>
        <v>24448</v>
      </c>
      <c r="H40" s="199">
        <f>SUM(H28:H39)</f>
        <v>62158</v>
      </c>
      <c r="I40" s="187">
        <f t="shared" ref="I40:L40" si="25">SUM(I28:I39)</f>
        <v>23930</v>
      </c>
      <c r="J40" s="187">
        <f t="shared" si="25"/>
        <v>-642</v>
      </c>
      <c r="K40" s="187">
        <f t="shared" si="25"/>
        <v>25439</v>
      </c>
      <c r="L40" s="187">
        <f t="shared" si="25"/>
        <v>65047</v>
      </c>
      <c r="M40" s="196">
        <f>SUM(M28:M39)</f>
        <v>113775</v>
      </c>
      <c r="N40" s="187">
        <f>SUM(N28:N39)</f>
        <v>21039</v>
      </c>
      <c r="O40" s="187">
        <f t="shared" ref="O40:S40" si="26">SUM(O28:O39)</f>
        <v>27342</v>
      </c>
      <c r="P40" s="187">
        <f t="shared" si="26"/>
        <v>84917</v>
      </c>
      <c r="Q40" s="187">
        <f t="shared" si="26"/>
        <v>33685</v>
      </c>
      <c r="R40" s="196">
        <f>SUM(R28:R39)</f>
        <v>166984</v>
      </c>
      <c r="S40" s="258">
        <f t="shared" si="26"/>
        <v>32534</v>
      </c>
      <c r="T40" s="133"/>
      <c r="U40" s="133"/>
      <c r="V40" s="133"/>
      <c r="W40" s="133"/>
      <c r="X40" s="133"/>
      <c r="Y40" s="133"/>
      <c r="Z40" s="133"/>
      <c r="AA40" s="133"/>
      <c r="AB40" s="133"/>
      <c r="AC40" s="133"/>
      <c r="AD40" s="133"/>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row>
    <row r="41" spans="1:87" s="30" customFormat="1" ht="17" x14ac:dyDescent="0.2">
      <c r="A41" s="259" t="s">
        <v>209</v>
      </c>
      <c r="B41" s="197">
        <f>B40/B23</f>
        <v>0.44266948680841589</v>
      </c>
      <c r="C41" s="197">
        <v>0.73954628638513864</v>
      </c>
      <c r="D41" s="188">
        <f t="shared" ref="D41" si="27">D40/D23</f>
        <v>0.2103395759066794</v>
      </c>
      <c r="E41" s="188">
        <f t="shared" ref="E41:F41" si="28">E40/E23</f>
        <v>0.13614999999999999</v>
      </c>
      <c r="F41" s="188">
        <f t="shared" si="28"/>
        <v>0.28290514327577881</v>
      </c>
      <c r="G41" s="189">
        <f>G40/G23</f>
        <v>0.41176272442483242</v>
      </c>
      <c r="H41" s="200">
        <f>H40/H23</f>
        <v>1.035655969875704</v>
      </c>
      <c r="I41" s="188">
        <f t="shared" ref="I41:L41" si="29">I40/I23</f>
        <v>0.39623141371659437</v>
      </c>
      <c r="J41" s="188">
        <f>J40/J42</f>
        <v>-1.0638650449076989E-2</v>
      </c>
      <c r="K41" s="188">
        <f>K40/64087</f>
        <v>0.39694477819214508</v>
      </c>
      <c r="L41" s="188">
        <f t="shared" si="29"/>
        <v>0.99518068602551946</v>
      </c>
      <c r="M41" s="202">
        <f>M40/M23</f>
        <v>1.8415557929494026</v>
      </c>
      <c r="N41" s="188">
        <f>N40/N42</f>
        <v>0.3121883903133903</v>
      </c>
      <c r="O41" s="188">
        <f>O40/O42</f>
        <v>0.38139742498849194</v>
      </c>
      <c r="P41" s="188">
        <f>P40/P42</f>
        <v>1.1722229124390884</v>
      </c>
      <c r="Q41" s="188">
        <f t="shared" ref="Q41:S41" si="30">Q40/Q42</f>
        <v>0.4634508757205949</v>
      </c>
      <c r="R41" s="202">
        <f>R40/R23</f>
        <v>2.5227598918281942</v>
      </c>
      <c r="S41" s="260">
        <f t="shared" si="30"/>
        <v>0.44968140540988816</v>
      </c>
      <c r="T41" s="133"/>
      <c r="U41" s="133"/>
      <c r="V41" s="133"/>
      <c r="W41" s="133"/>
      <c r="X41" s="133"/>
      <c r="Y41" s="133"/>
      <c r="Z41" s="133"/>
      <c r="AA41" s="133"/>
      <c r="AB41" s="133"/>
      <c r="AC41" s="133"/>
      <c r="AD41" s="133"/>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row>
    <row r="42" spans="1:87" s="2" customFormat="1" x14ac:dyDescent="0.2">
      <c r="A42" s="261" t="s">
        <v>54</v>
      </c>
      <c r="B42" s="57">
        <f>B23</f>
        <v>53898</v>
      </c>
      <c r="C42" s="57">
        <v>57922</v>
      </c>
      <c r="D42" s="5">
        <f t="shared" ref="D42:F42" si="31">D23</f>
        <v>59751</v>
      </c>
      <c r="E42" s="5">
        <f t="shared" si="31"/>
        <v>60000</v>
      </c>
      <c r="F42" s="5">
        <f t="shared" si="31"/>
        <v>60059</v>
      </c>
      <c r="G42" s="5">
        <v>60257</v>
      </c>
      <c r="H42" s="24">
        <v>60018</v>
      </c>
      <c r="I42" s="5">
        <f>I23</f>
        <v>60394</v>
      </c>
      <c r="J42" s="5">
        <v>60346</v>
      </c>
      <c r="K42" s="5">
        <v>64087</v>
      </c>
      <c r="L42" s="5">
        <f>L23</f>
        <v>65362</v>
      </c>
      <c r="M42" s="24">
        <v>62707</v>
      </c>
      <c r="N42" s="5">
        <v>67392</v>
      </c>
      <c r="O42" s="5">
        <v>71689</v>
      </c>
      <c r="P42" s="5">
        <v>72441</v>
      </c>
      <c r="Q42" s="5">
        <v>72683</v>
      </c>
      <c r="R42" s="24">
        <v>71066</v>
      </c>
      <c r="S42" s="227">
        <v>72349</v>
      </c>
      <c r="T42" s="137"/>
      <c r="U42" s="137"/>
      <c r="V42" s="137"/>
      <c r="W42" s="137"/>
      <c r="X42" s="137"/>
      <c r="Y42" s="137"/>
      <c r="Z42" s="137"/>
      <c r="AA42" s="137"/>
      <c r="AB42" s="137"/>
      <c r="AC42" s="137"/>
      <c r="AD42" s="137"/>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row>
    <row r="43" spans="1:87" s="2" customFormat="1" x14ac:dyDescent="0.2">
      <c r="A43" s="262"/>
      <c r="B43" s="75"/>
      <c r="C43" s="75"/>
      <c r="D43" s="5"/>
      <c r="E43" s="5"/>
      <c r="F43" s="5"/>
      <c r="G43" s="5"/>
      <c r="H43" s="24"/>
      <c r="I43" s="5"/>
      <c r="J43" s="5"/>
      <c r="K43" s="5"/>
      <c r="L43" s="5"/>
      <c r="M43" s="34"/>
      <c r="N43" s="5"/>
      <c r="O43" s="5"/>
      <c r="P43" s="5"/>
      <c r="Q43" s="5"/>
      <c r="R43" s="34"/>
      <c r="S43" s="227"/>
      <c r="T43" s="137"/>
      <c r="U43" s="137"/>
      <c r="V43" s="137"/>
      <c r="W43" s="137"/>
      <c r="X43" s="137"/>
      <c r="Y43" s="137"/>
      <c r="Z43" s="137"/>
      <c r="AA43" s="137"/>
      <c r="AB43" s="137"/>
      <c r="AC43" s="137"/>
      <c r="AD43" s="137"/>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row>
    <row r="44" spans="1:87" s="2" customFormat="1" x14ac:dyDescent="0.2">
      <c r="A44" s="263" t="s">
        <v>55</v>
      </c>
      <c r="B44" s="57"/>
      <c r="C44" s="57"/>
      <c r="D44" s="97"/>
      <c r="E44" s="98"/>
      <c r="F44" s="98"/>
      <c r="G44" s="98"/>
      <c r="H44" s="51"/>
      <c r="I44" s="98"/>
      <c r="J44" s="98"/>
      <c r="K44" s="98"/>
      <c r="L44" s="98"/>
      <c r="M44" s="34"/>
      <c r="N44" s="98"/>
      <c r="O44" s="98"/>
      <c r="P44" s="5"/>
      <c r="Q44" s="5"/>
      <c r="R44" s="34"/>
      <c r="S44" s="227"/>
      <c r="T44" s="137"/>
      <c r="U44" s="137"/>
      <c r="V44" s="137"/>
      <c r="W44" s="137"/>
      <c r="X44" s="137"/>
      <c r="Y44" s="137"/>
      <c r="Z44" s="137"/>
      <c r="AA44" s="137"/>
      <c r="AB44" s="137"/>
      <c r="AC44" s="137"/>
      <c r="AD44" s="137"/>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row>
    <row r="45" spans="1:87" s="2" customFormat="1" x14ac:dyDescent="0.2">
      <c r="A45" s="264" t="s">
        <v>56</v>
      </c>
      <c r="B45" s="57">
        <v>5207</v>
      </c>
      <c r="C45" s="57">
        <v>29205</v>
      </c>
      <c r="D45" s="33">
        <f t="shared" ref="D45:O45" si="32">D21</f>
        <v>6419</v>
      </c>
      <c r="E45" s="33">
        <f t="shared" si="32"/>
        <v>738</v>
      </c>
      <c r="F45" s="33">
        <f t="shared" si="32"/>
        <v>6104</v>
      </c>
      <c r="G45" s="33">
        <f t="shared" si="32"/>
        <v>-12379</v>
      </c>
      <c r="H45" s="24">
        <f t="shared" si="32"/>
        <v>882</v>
      </c>
      <c r="I45" s="33">
        <f t="shared" si="32"/>
        <v>4074</v>
      </c>
      <c r="J45" s="33">
        <f t="shared" si="32"/>
        <v>-30759</v>
      </c>
      <c r="K45" s="20">
        <f t="shared" si="32"/>
        <v>-873</v>
      </c>
      <c r="L45" s="33">
        <f t="shared" si="32"/>
        <v>25834</v>
      </c>
      <c r="M45" s="24">
        <f t="shared" si="32"/>
        <v>-1724</v>
      </c>
      <c r="N45" s="33">
        <f t="shared" si="32"/>
        <v>-47917</v>
      </c>
      <c r="O45" s="33">
        <f t="shared" si="32"/>
        <v>-47117</v>
      </c>
      <c r="P45" s="5">
        <v>48524</v>
      </c>
      <c r="Q45" s="5">
        <v>-13508</v>
      </c>
      <c r="R45" s="24">
        <f t="shared" ref="R45" si="33">R21</f>
        <v>-60018</v>
      </c>
      <c r="S45" s="227">
        <f>S21</f>
        <v>54871</v>
      </c>
      <c r="T45" s="137"/>
      <c r="U45" s="137"/>
      <c r="V45" s="137"/>
      <c r="W45" s="137"/>
      <c r="X45" s="137"/>
      <c r="Y45" s="137"/>
      <c r="Z45" s="137"/>
      <c r="AA45" s="137"/>
      <c r="AB45" s="137"/>
      <c r="AC45" s="137"/>
      <c r="AD45" s="137"/>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row>
    <row r="46" spans="1:87" s="2" customFormat="1" x14ac:dyDescent="0.2">
      <c r="A46" s="264" t="s">
        <v>57</v>
      </c>
      <c r="B46" s="57">
        <v>8041</v>
      </c>
      <c r="C46" s="57">
        <v>10615</v>
      </c>
      <c r="D46" s="33">
        <v>2800</v>
      </c>
      <c r="E46" s="33">
        <v>2687</v>
      </c>
      <c r="F46" s="33">
        <v>2709</v>
      </c>
      <c r="G46" s="33">
        <v>3165</v>
      </c>
      <c r="H46" s="24">
        <f>SUM(D46:G46)</f>
        <v>11361</v>
      </c>
      <c r="I46" s="33">
        <v>2881</v>
      </c>
      <c r="J46" s="33">
        <f>J118</f>
        <v>2930</v>
      </c>
      <c r="K46" s="20">
        <v>3133</v>
      </c>
      <c r="L46" s="20">
        <v>3531</v>
      </c>
      <c r="M46" s="34">
        <f>SUM(I46:L46)</f>
        <v>12475</v>
      </c>
      <c r="N46" s="33">
        <v>4291</v>
      </c>
      <c r="O46" s="33">
        <v>4291</v>
      </c>
      <c r="P46" s="5">
        <v>4838</v>
      </c>
      <c r="Q46" s="5">
        <v>5274</v>
      </c>
      <c r="R46" s="34">
        <f>SUM(N46:Q46)</f>
        <v>18694</v>
      </c>
      <c r="S46" s="227">
        <v>5755</v>
      </c>
      <c r="T46" s="137"/>
      <c r="U46" s="137"/>
      <c r="V46" s="137"/>
      <c r="W46" s="137"/>
      <c r="X46" s="137"/>
      <c r="Y46" s="137"/>
      <c r="Z46" s="137"/>
      <c r="AA46" s="137"/>
      <c r="AB46" s="137"/>
      <c r="AC46" s="137"/>
      <c r="AD46" s="137"/>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row>
    <row r="47" spans="1:87" s="2" customFormat="1" x14ac:dyDescent="0.2">
      <c r="A47" s="264" t="s">
        <v>58</v>
      </c>
      <c r="B47" s="57">
        <v>-718</v>
      </c>
      <c r="C47" s="57">
        <v>-2916</v>
      </c>
      <c r="D47" s="33">
        <f>6-2003</f>
        <v>-1997</v>
      </c>
      <c r="E47" s="33">
        <f>17-1630</f>
        <v>-1613</v>
      </c>
      <c r="F47" s="33">
        <f>4-1647</f>
        <v>-1643</v>
      </c>
      <c r="G47" s="33">
        <f>-1760+19</f>
        <v>-1741</v>
      </c>
      <c r="H47" s="24">
        <f>SUM(D47:G47)</f>
        <v>-6994</v>
      </c>
      <c r="I47" s="33">
        <f>7-693</f>
        <v>-686</v>
      </c>
      <c r="J47" s="33">
        <f>5-1499</f>
        <v>-1494</v>
      </c>
      <c r="K47" s="20">
        <f>-965+32</f>
        <v>-933</v>
      </c>
      <c r="L47" s="20">
        <f>-929+11</f>
        <v>-918</v>
      </c>
      <c r="M47" s="24">
        <f>SUM(I47:L47)</f>
        <v>-4031</v>
      </c>
      <c r="N47" s="33">
        <f>-533+5</f>
        <v>-528</v>
      </c>
      <c r="O47" s="33">
        <f>-502+17</f>
        <v>-485</v>
      </c>
      <c r="P47" s="5">
        <v>-118</v>
      </c>
      <c r="Q47" s="5">
        <v>-352</v>
      </c>
      <c r="R47" s="24">
        <f>SUM(N47:Q47)</f>
        <v>-1483</v>
      </c>
      <c r="S47" s="227">
        <v>354</v>
      </c>
      <c r="T47" s="137"/>
      <c r="U47" s="137"/>
      <c r="V47" s="137"/>
      <c r="W47" s="137"/>
      <c r="X47" s="137"/>
      <c r="Y47" s="137"/>
      <c r="Z47" s="137"/>
      <c r="AA47" s="137"/>
      <c r="AB47" s="137"/>
      <c r="AC47" s="137"/>
      <c r="AD47" s="137"/>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row>
    <row r="48" spans="1:87" s="3" customFormat="1" x14ac:dyDescent="0.2">
      <c r="A48" s="265" t="s">
        <v>59</v>
      </c>
      <c r="B48" s="184">
        <v>10554</v>
      </c>
      <c r="C48" s="59">
        <v>-1101</v>
      </c>
      <c r="D48" s="31">
        <v>-1435</v>
      </c>
      <c r="E48" s="31">
        <v>-188</v>
      </c>
      <c r="F48" s="31">
        <v>2332</v>
      </c>
      <c r="G48" s="31">
        <v>479</v>
      </c>
      <c r="H48" s="23">
        <f>SUM(D48:G48)</f>
        <v>1188</v>
      </c>
      <c r="I48" s="31">
        <f>I20</f>
        <v>-3933</v>
      </c>
      <c r="J48" s="31">
        <f>J20</f>
        <v>18696</v>
      </c>
      <c r="K48" s="21">
        <f>K20</f>
        <v>-2536</v>
      </c>
      <c r="L48" s="21">
        <f>L20</f>
        <v>-16794</v>
      </c>
      <c r="M48" s="23">
        <f>SUM(I48:L48)</f>
        <v>-4567</v>
      </c>
      <c r="N48" s="31">
        <f>N20</f>
        <v>-1760</v>
      </c>
      <c r="O48" s="31">
        <f>O20</f>
        <v>-4727</v>
      </c>
      <c r="P48" s="3">
        <v>-51164</v>
      </c>
      <c r="Q48" s="3">
        <v>-23706</v>
      </c>
      <c r="R48" s="23">
        <f>SUM(N48:Q48)</f>
        <v>-81357</v>
      </c>
      <c r="S48" s="226">
        <v>17622</v>
      </c>
      <c r="T48" s="137"/>
      <c r="U48" s="137"/>
      <c r="V48" s="137"/>
      <c r="W48" s="137"/>
      <c r="X48" s="137"/>
      <c r="Y48" s="137"/>
      <c r="Z48" s="137"/>
      <c r="AA48" s="137"/>
      <c r="AB48" s="137"/>
      <c r="AC48" s="137"/>
      <c r="AD48" s="137"/>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row>
    <row r="49" spans="1:87" s="2" customFormat="1" ht="17" x14ac:dyDescent="0.2">
      <c r="A49" s="266" t="s">
        <v>210</v>
      </c>
      <c r="B49" s="57">
        <v>23084</v>
      </c>
      <c r="C49" s="57">
        <v>35803</v>
      </c>
      <c r="D49" s="33">
        <f>SUM(D45:D48)</f>
        <v>5787</v>
      </c>
      <c r="E49" s="33">
        <f>SUM(E45:E48)</f>
        <v>1624</v>
      </c>
      <c r="F49" s="33">
        <f>SUM(F45:F48)</f>
        <v>9502</v>
      </c>
      <c r="G49" s="33">
        <f>SUM(G45:G48)</f>
        <v>-10476</v>
      </c>
      <c r="H49" s="24">
        <f>H45+H46+H47+H48</f>
        <v>6437</v>
      </c>
      <c r="I49" s="33">
        <f>SUM(I45:I48)</f>
        <v>2336</v>
      </c>
      <c r="J49" s="20">
        <f>SUM(J45:J48)</f>
        <v>-10627</v>
      </c>
      <c r="K49" s="20">
        <f>SUM(K45:K48)</f>
        <v>-1209</v>
      </c>
      <c r="L49" s="20">
        <f>SUM(L45:L48)</f>
        <v>11653</v>
      </c>
      <c r="M49" s="24">
        <f>M45+M46+M47+M48</f>
        <v>2153</v>
      </c>
      <c r="N49" s="33">
        <f>SUM(N45:N48)</f>
        <v>-45914</v>
      </c>
      <c r="O49" s="33">
        <f>SUM(O45:O48)</f>
        <v>-48038</v>
      </c>
      <c r="P49" s="33">
        <f t="shared" ref="P49:S49" si="34">SUM(P45:P48)</f>
        <v>2080</v>
      </c>
      <c r="Q49" s="33">
        <f t="shared" si="34"/>
        <v>-32292</v>
      </c>
      <c r="R49" s="24">
        <f>R45+R46+R47+R48</f>
        <v>-124164</v>
      </c>
      <c r="S49" s="233">
        <f t="shared" si="34"/>
        <v>78602</v>
      </c>
      <c r="T49" s="137"/>
      <c r="U49" s="137"/>
      <c r="V49" s="137"/>
      <c r="W49" s="137"/>
      <c r="X49" s="137"/>
      <c r="Y49" s="137"/>
      <c r="Z49" s="137"/>
      <c r="AA49" s="137"/>
      <c r="AB49" s="137"/>
      <c r="AC49" s="137"/>
      <c r="AD49" s="137"/>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row>
    <row r="50" spans="1:87" s="2" customFormat="1" x14ac:dyDescent="0.2">
      <c r="A50" s="255" t="s">
        <v>60</v>
      </c>
      <c r="B50" s="57">
        <v>15610</v>
      </c>
      <c r="C50" s="57">
        <v>21879</v>
      </c>
      <c r="D50" s="33">
        <v>7905</v>
      </c>
      <c r="E50" s="33">
        <f>E30</f>
        <v>8627</v>
      </c>
      <c r="F50" s="33">
        <v>13663</v>
      </c>
      <c r="G50" s="33">
        <v>48300</v>
      </c>
      <c r="H50" s="24">
        <f>SUM(D50:G50)</f>
        <v>78495</v>
      </c>
      <c r="I50" s="33">
        <f>I67</f>
        <v>20195</v>
      </c>
      <c r="J50" s="33">
        <f t="shared" ref="J50" si="35">J67</f>
        <v>33835</v>
      </c>
      <c r="K50" s="33">
        <f>K30</f>
        <v>26094</v>
      </c>
      <c r="L50" s="33">
        <f>L30</f>
        <v>53448</v>
      </c>
      <c r="M50" s="34">
        <f>SUM(I50:L50)</f>
        <v>133572</v>
      </c>
      <c r="N50" s="33">
        <v>89610</v>
      </c>
      <c r="O50" s="33">
        <v>137549</v>
      </c>
      <c r="P50" s="5">
        <v>35062</v>
      </c>
      <c r="Q50" s="5">
        <v>41110</v>
      </c>
      <c r="R50" s="34">
        <f>SUM(N50:Q50)</f>
        <v>303331</v>
      </c>
      <c r="S50" s="227">
        <v>25088</v>
      </c>
      <c r="T50" s="137"/>
      <c r="U50" s="137"/>
      <c r="V50" s="137"/>
      <c r="W50" s="137"/>
      <c r="X50" s="137"/>
      <c r="Y50" s="137"/>
      <c r="Z50" s="137"/>
      <c r="AA50" s="137"/>
      <c r="AB50" s="137"/>
      <c r="AC50" s="137"/>
      <c r="AD50" s="137"/>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row>
    <row r="51" spans="1:87" s="2" customFormat="1" ht="16" x14ac:dyDescent="0.2">
      <c r="A51" s="256" t="s">
        <v>48</v>
      </c>
      <c r="B51" s="57">
        <v>290</v>
      </c>
      <c r="C51" s="57">
        <v>1382</v>
      </c>
      <c r="D51" s="33">
        <v>0</v>
      </c>
      <c r="E51" s="33"/>
      <c r="F51" s="33"/>
      <c r="G51" s="98"/>
      <c r="H51" s="24">
        <f t="shared" ref="H51:H52" si="36">SUM(D51:G51)</f>
        <v>0</v>
      </c>
      <c r="I51" s="33">
        <v>833</v>
      </c>
      <c r="J51" s="33">
        <v>90</v>
      </c>
      <c r="K51" s="98"/>
      <c r="L51" s="20">
        <v>109</v>
      </c>
      <c r="M51" s="34">
        <f>SUM(I51:L51)</f>
        <v>1032</v>
      </c>
      <c r="N51" s="33">
        <v>385</v>
      </c>
      <c r="O51" s="33">
        <v>110</v>
      </c>
      <c r="P51" s="5">
        <v>393</v>
      </c>
      <c r="Q51" s="5">
        <v>1180</v>
      </c>
      <c r="R51" s="34">
        <f>SUM(N51:Q51)</f>
        <v>2068</v>
      </c>
      <c r="S51" s="227">
        <f>S34</f>
        <v>871</v>
      </c>
      <c r="T51" s="137"/>
      <c r="U51" s="137"/>
      <c r="V51" s="137"/>
      <c r="W51" s="137"/>
      <c r="X51" s="137"/>
      <c r="Y51" s="137"/>
      <c r="Z51" s="137"/>
      <c r="AA51" s="137"/>
      <c r="AB51" s="137"/>
      <c r="AC51" s="137"/>
      <c r="AD51" s="137"/>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row>
    <row r="52" spans="1:87" s="2" customFormat="1" x14ac:dyDescent="0.2">
      <c r="A52" s="255" t="s">
        <v>61</v>
      </c>
      <c r="B52" s="57">
        <v>1146</v>
      </c>
      <c r="C52" s="57">
        <v>2117</v>
      </c>
      <c r="D52" s="33">
        <v>18</v>
      </c>
      <c r="E52" s="33"/>
      <c r="F52" s="33">
        <v>33</v>
      </c>
      <c r="G52" s="33">
        <v>16</v>
      </c>
      <c r="H52" s="24">
        <f t="shared" si="36"/>
        <v>67</v>
      </c>
      <c r="I52" s="33">
        <v>13</v>
      </c>
      <c r="J52" s="33">
        <v>100</v>
      </c>
      <c r="K52" s="20">
        <v>139</v>
      </c>
      <c r="L52" s="20">
        <v>68</v>
      </c>
      <c r="M52" s="34">
        <f t="shared" ref="M52:M53" si="37">SUM(I52:L52)</f>
        <v>320</v>
      </c>
      <c r="N52" s="33">
        <v>11</v>
      </c>
      <c r="O52" s="33">
        <v>119</v>
      </c>
      <c r="P52" s="5">
        <v>0</v>
      </c>
      <c r="Q52" s="5">
        <v>16</v>
      </c>
      <c r="R52" s="34">
        <f t="shared" ref="R52:R53" si="38">SUM(N52:Q52)</f>
        <v>146</v>
      </c>
      <c r="S52" s="227">
        <f>S31</f>
        <v>40</v>
      </c>
      <c r="T52" s="137"/>
      <c r="U52" s="137"/>
      <c r="V52" s="137"/>
      <c r="W52" s="137"/>
      <c r="X52" s="137"/>
      <c r="Y52" s="137"/>
      <c r="Z52" s="137"/>
      <c r="AA52" s="137"/>
      <c r="AB52" s="137"/>
      <c r="AC52" s="137"/>
      <c r="AD52" s="137"/>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row>
    <row r="53" spans="1:87" s="5" customFormat="1" x14ac:dyDescent="0.2">
      <c r="A53" s="254" t="s">
        <v>46</v>
      </c>
      <c r="B53" s="57">
        <v>-28</v>
      </c>
      <c r="C53" s="57">
        <v>303</v>
      </c>
      <c r="D53" s="33">
        <v>242</v>
      </c>
      <c r="E53" s="33">
        <v>1321</v>
      </c>
      <c r="F53" s="33">
        <v>845</v>
      </c>
      <c r="G53" s="33">
        <v>134</v>
      </c>
      <c r="H53" s="24">
        <f>SUM(D53:G53)</f>
        <v>2542</v>
      </c>
      <c r="I53" s="33">
        <v>517</v>
      </c>
      <c r="J53" s="33">
        <v>788</v>
      </c>
      <c r="K53" s="20">
        <v>124</v>
      </c>
      <c r="L53" s="20">
        <v>293</v>
      </c>
      <c r="M53" s="34">
        <f t="shared" si="37"/>
        <v>1722</v>
      </c>
      <c r="N53" s="33">
        <v>45</v>
      </c>
      <c r="O53" s="33">
        <v>-2</v>
      </c>
      <c r="P53" s="5">
        <v>31</v>
      </c>
      <c r="Q53" s="5">
        <v>18</v>
      </c>
      <c r="R53" s="34">
        <f t="shared" si="38"/>
        <v>92</v>
      </c>
      <c r="S53" s="227">
        <f>S32</f>
        <v>106</v>
      </c>
      <c r="T53" s="137"/>
      <c r="U53" s="137"/>
      <c r="V53" s="137"/>
      <c r="W53" s="137"/>
      <c r="X53" s="137"/>
      <c r="Y53" s="137"/>
      <c r="Z53" s="137"/>
      <c r="AA53" s="137"/>
      <c r="AB53" s="137"/>
      <c r="AC53" s="137"/>
      <c r="AD53" s="137"/>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row>
    <row r="54" spans="1:87" s="5" customFormat="1" x14ac:dyDescent="0.2">
      <c r="A54" s="255" t="s">
        <v>47</v>
      </c>
      <c r="B54" s="57"/>
      <c r="C54" s="57"/>
      <c r="D54" s="33"/>
      <c r="E54" s="33"/>
      <c r="F54" s="33"/>
      <c r="G54" s="33">
        <v>240</v>
      </c>
      <c r="H54" s="24">
        <f>SUM(D54:G54)</f>
        <v>240</v>
      </c>
      <c r="I54" s="33">
        <f>I33</f>
        <v>6135</v>
      </c>
      <c r="J54" s="33">
        <v>3834</v>
      </c>
      <c r="K54" s="20">
        <f>K33</f>
        <v>8573</v>
      </c>
      <c r="L54" s="20">
        <f>L33</f>
        <v>522</v>
      </c>
      <c r="M54" s="34">
        <f>SUM(I54:L54)</f>
        <v>19064</v>
      </c>
      <c r="N54" s="33">
        <v>233</v>
      </c>
      <c r="O54" s="33">
        <v>147</v>
      </c>
      <c r="P54" s="5">
        <v>242</v>
      </c>
      <c r="Q54" s="5">
        <v>119</v>
      </c>
      <c r="R54" s="34">
        <f>SUM(N54:Q54)</f>
        <v>741</v>
      </c>
      <c r="S54" s="227">
        <f>S33</f>
        <v>4</v>
      </c>
      <c r="T54" s="137"/>
      <c r="U54" s="137"/>
      <c r="V54" s="137"/>
      <c r="W54" s="137"/>
      <c r="X54" s="137"/>
      <c r="Y54" s="137"/>
      <c r="Z54" s="137"/>
      <c r="AA54" s="137"/>
      <c r="AB54" s="137"/>
      <c r="AC54" s="137"/>
      <c r="AD54" s="137"/>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row>
    <row r="55" spans="1:87" s="5" customFormat="1" x14ac:dyDescent="0.2">
      <c r="A55" s="255" t="s">
        <v>52</v>
      </c>
      <c r="B55" s="57"/>
      <c r="C55" s="57"/>
      <c r="D55" s="33"/>
      <c r="E55" s="33"/>
      <c r="F55" s="33"/>
      <c r="G55" s="33"/>
      <c r="H55" s="24"/>
      <c r="I55" s="33"/>
      <c r="J55" s="33"/>
      <c r="K55" s="20"/>
      <c r="L55" s="20"/>
      <c r="M55" s="34"/>
      <c r="N55" s="33">
        <v>1452</v>
      </c>
      <c r="O55" s="33">
        <v>2217</v>
      </c>
      <c r="P55" s="5">
        <v>6069</v>
      </c>
      <c r="Q55" s="5">
        <v>9195</v>
      </c>
      <c r="R55" s="34">
        <f>SUM(N55:Q55)</f>
        <v>18933</v>
      </c>
      <c r="S55" s="227">
        <f>S38</f>
        <v>0</v>
      </c>
      <c r="T55" s="137"/>
      <c r="U55" s="137"/>
      <c r="V55" s="137"/>
      <c r="W55" s="137"/>
      <c r="X55" s="137"/>
      <c r="Y55" s="137"/>
      <c r="Z55" s="137"/>
      <c r="AA55" s="137"/>
      <c r="AB55" s="137"/>
      <c r="AC55" s="137"/>
      <c r="AD55" s="137"/>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row>
    <row r="56" spans="1:87" s="3" customFormat="1" x14ac:dyDescent="0.2">
      <c r="A56" s="255" t="s">
        <v>51</v>
      </c>
      <c r="B56" s="59"/>
      <c r="C56" s="59"/>
      <c r="D56" s="31"/>
      <c r="E56" s="31"/>
      <c r="F56" s="31"/>
      <c r="G56" s="31"/>
      <c r="H56" s="23"/>
      <c r="I56" s="31"/>
      <c r="J56" s="31"/>
      <c r="K56" s="21"/>
      <c r="L56" s="21">
        <v>-2055</v>
      </c>
      <c r="M56" s="35">
        <f>SUM(I56:L56)</f>
        <v>-2055</v>
      </c>
      <c r="N56" s="31"/>
      <c r="O56" s="31">
        <v>-40855</v>
      </c>
      <c r="P56" s="3">
        <v>6660</v>
      </c>
      <c r="Q56" s="3">
        <v>11160</v>
      </c>
      <c r="R56" s="35">
        <f>SUM(N56:Q56)</f>
        <v>-23035</v>
      </c>
      <c r="S56" s="226">
        <f>S37</f>
        <v>-55851</v>
      </c>
      <c r="T56" s="137"/>
      <c r="U56" s="137"/>
      <c r="V56" s="137"/>
      <c r="W56" s="137"/>
      <c r="X56" s="137"/>
      <c r="Y56" s="137"/>
      <c r="Z56" s="137"/>
      <c r="AA56" s="137"/>
      <c r="AB56" s="137"/>
      <c r="AC56" s="137"/>
      <c r="AD56" s="137"/>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row>
    <row r="57" spans="1:87" s="28" customFormat="1" ht="17" x14ac:dyDescent="0.2">
      <c r="A57" s="267" t="s">
        <v>211</v>
      </c>
      <c r="B57" s="198">
        <v>40102</v>
      </c>
      <c r="C57" s="198">
        <v>61484</v>
      </c>
      <c r="D57" s="190">
        <f t="shared" ref="D57" si="39">SUM(D49:D53)</f>
        <v>13952</v>
      </c>
      <c r="E57" s="190">
        <f t="shared" ref="E57:F57" si="40">SUM(E49:E53)</f>
        <v>11572</v>
      </c>
      <c r="F57" s="190">
        <f t="shared" si="40"/>
        <v>24043</v>
      </c>
      <c r="G57" s="190">
        <f>SUM(G49:G54)</f>
        <v>38214</v>
      </c>
      <c r="H57" s="201">
        <f>SUM(H49:H54)</f>
        <v>87781</v>
      </c>
      <c r="I57" s="190">
        <f>SUM(I49:I54)</f>
        <v>30029</v>
      </c>
      <c r="J57" s="190">
        <f t="shared" ref="J57" si="41">SUM(J49:J54)</f>
        <v>28020</v>
      </c>
      <c r="K57" s="190">
        <f t="shared" ref="K57" si="42">SUM(K49:K54)</f>
        <v>33721</v>
      </c>
      <c r="L57" s="190">
        <f>SUM(L49:L56)</f>
        <v>64038</v>
      </c>
      <c r="M57" s="201">
        <f>SUM(I57:L57)</f>
        <v>155808</v>
      </c>
      <c r="N57" s="190">
        <f>SUM(N49:N56)</f>
        <v>45822</v>
      </c>
      <c r="O57" s="190">
        <f>SUM(O49:O56)</f>
        <v>51247</v>
      </c>
      <c r="P57" s="190">
        <f t="shared" ref="P57:S57" si="43">SUM(P49:P56)</f>
        <v>50537</v>
      </c>
      <c r="Q57" s="190">
        <f t="shared" si="43"/>
        <v>30506</v>
      </c>
      <c r="R57" s="201">
        <f>SUM(N57:Q57)</f>
        <v>178112</v>
      </c>
      <c r="S57" s="268">
        <f t="shared" si="43"/>
        <v>48860</v>
      </c>
      <c r="T57" s="137"/>
      <c r="U57" s="137"/>
      <c r="V57" s="137"/>
      <c r="W57" s="137"/>
      <c r="X57" s="137"/>
      <c r="Y57" s="137"/>
      <c r="Z57" s="137"/>
      <c r="AA57" s="137"/>
      <c r="AB57" s="137"/>
      <c r="AC57" s="137"/>
      <c r="AD57" s="137"/>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row>
    <row r="58" spans="1:87" s="22" customFormat="1" x14ac:dyDescent="0.2">
      <c r="A58" s="269" t="s">
        <v>62</v>
      </c>
      <c r="B58" s="66">
        <v>1.5145521498088994E-2</v>
      </c>
      <c r="C58" s="66">
        <v>6.9524457944904153E-2</v>
      </c>
      <c r="D58" s="107">
        <f>D45/D5</f>
        <v>5.5426992487695365E-2</v>
      </c>
      <c r="E58" s="107">
        <f>E45/E5</f>
        <v>6.568056816361403E-3</v>
      </c>
      <c r="F58" s="107">
        <f>F45/F5</f>
        <v>4.6653469584291903E-2</v>
      </c>
      <c r="G58" s="107">
        <f>G45/G5</f>
        <v>-7.2033331199702066E-2</v>
      </c>
      <c r="H58" s="102">
        <f>C45/C5</f>
        <v>6.9524457944904153E-2</v>
      </c>
      <c r="I58" s="107">
        <f>I45/I5</f>
        <v>2.768377706201329E-2</v>
      </c>
      <c r="J58" s="107">
        <f>J45/J5</f>
        <v>-0.21774895758854304</v>
      </c>
      <c r="K58" s="107">
        <f>K45/K5</f>
        <v>-5.245070354838322E-3</v>
      </c>
      <c r="L58" s="107">
        <f>L45/L5</f>
        <v>0.11423896701158574</v>
      </c>
      <c r="M58" s="102">
        <f>H45/H5</f>
        <v>1.6614549975511434E-3</v>
      </c>
      <c r="N58" s="107">
        <f t="shared" ref="N58:S58" si="44">N45/N5</f>
        <v>-0.24570426471266901</v>
      </c>
      <c r="O58" s="107">
        <f t="shared" si="44"/>
        <v>-0.2153476999017345</v>
      </c>
      <c r="P58" s="107">
        <f t="shared" si="44"/>
        <v>0.20916508972408174</v>
      </c>
      <c r="Q58" s="107">
        <f t="shared" si="44"/>
        <v>-6.20834827050529E-2</v>
      </c>
      <c r="R58" s="102">
        <f t="shared" si="44"/>
        <v>-6.9515080827583647E-2</v>
      </c>
      <c r="S58" s="270">
        <f t="shared" si="44"/>
        <v>0.21398376139705022</v>
      </c>
      <c r="T58" s="139"/>
      <c r="U58" s="139"/>
      <c r="V58" s="139"/>
      <c r="W58" s="139"/>
      <c r="X58" s="139"/>
      <c r="Y58" s="139"/>
      <c r="Z58" s="139"/>
      <c r="AA58" s="139"/>
      <c r="AB58" s="139"/>
      <c r="AC58" s="139"/>
      <c r="AD58" s="13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row>
    <row r="59" spans="1:87" s="22" customFormat="1" x14ac:dyDescent="0.2">
      <c r="A59" s="269" t="s">
        <v>63</v>
      </c>
      <c r="B59" s="66">
        <v>0.11700000000000001</v>
      </c>
      <c r="C59" s="66">
        <v>0.14636677871201806</v>
      </c>
      <c r="D59" s="107">
        <f t="shared" ref="D59:S59" si="45">D57/D5</f>
        <v>0.12047318884379588</v>
      </c>
      <c r="E59" s="107">
        <f t="shared" si="45"/>
        <v>0.10298855484950428</v>
      </c>
      <c r="F59" s="107">
        <f t="shared" si="45"/>
        <v>0.18376300282030311</v>
      </c>
      <c r="G59" s="107">
        <f t="shared" si="45"/>
        <v>0.22236705052632805</v>
      </c>
      <c r="H59" s="102">
        <f t="shared" si="45"/>
        <v>0.16535621444448631</v>
      </c>
      <c r="I59" s="107">
        <f t="shared" si="45"/>
        <v>0.2040540356885609</v>
      </c>
      <c r="J59" s="107">
        <f t="shared" si="45"/>
        <v>0.19835904260967444</v>
      </c>
      <c r="K59" s="107">
        <f t="shared" si="45"/>
        <v>0.20259910359164154</v>
      </c>
      <c r="L59" s="107">
        <f t="shared" si="45"/>
        <v>0.28317856195277263</v>
      </c>
      <c r="M59" s="102">
        <f t="shared" si="45"/>
        <v>0.22879194364782535</v>
      </c>
      <c r="N59" s="107">
        <f t="shared" si="45"/>
        <v>0.23496172167840057</v>
      </c>
      <c r="O59" s="107">
        <f t="shared" si="45"/>
        <v>0.23422381681482665</v>
      </c>
      <c r="P59" s="107">
        <f t="shared" si="45"/>
        <v>0.21784222527792266</v>
      </c>
      <c r="Q59" s="107">
        <f>Q57/Q5</f>
        <v>0.14020719006517204</v>
      </c>
      <c r="R59" s="102">
        <f t="shared" si="45"/>
        <v>0.20629594582229629</v>
      </c>
      <c r="S59" s="270">
        <f t="shared" si="45"/>
        <v>0.19054230070273684</v>
      </c>
      <c r="T59" s="139"/>
      <c r="U59" s="139"/>
      <c r="V59" s="139"/>
      <c r="W59" s="139"/>
      <c r="X59" s="139"/>
      <c r="Y59" s="139"/>
      <c r="Z59" s="139"/>
      <c r="AA59" s="139"/>
      <c r="AB59" s="139"/>
      <c r="AC59" s="139"/>
      <c r="AD59" s="13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row>
    <row r="60" spans="1:87" s="22" customFormat="1" x14ac:dyDescent="0.2">
      <c r="A60" s="269" t="s">
        <v>64</v>
      </c>
      <c r="B60" s="66"/>
      <c r="C60" s="66"/>
      <c r="D60" s="107"/>
      <c r="E60" s="107"/>
      <c r="F60" s="107"/>
      <c r="G60" s="107"/>
      <c r="H60" s="102">
        <f>(H57-C57)/(H5-C5)</f>
        <v>0.23735468264856668</v>
      </c>
      <c r="I60" s="107">
        <f>(I57-D57)/(I5-D5)</f>
        <v>0.51279025261546318</v>
      </c>
      <c r="J60" s="107">
        <f t="shared" ref="J60:S60" si="46">(J57-E57)/(J5-E5)</f>
        <v>0.56919403398276636</v>
      </c>
      <c r="K60" s="107">
        <f t="shared" si="46"/>
        <v>0.27181575621401488</v>
      </c>
      <c r="L60" s="107">
        <f>(L57-G57)/(L5-G5)</f>
        <v>0.47567647221352394</v>
      </c>
      <c r="M60" s="102">
        <f t="shared" si="46"/>
        <v>0.45308139573606493</v>
      </c>
      <c r="N60" s="107">
        <f t="shared" si="46"/>
        <v>0.33000397016110494</v>
      </c>
      <c r="O60" s="107">
        <f>(O57-J57)/(O5-J5)</f>
        <v>0.29956407346264963</v>
      </c>
      <c r="P60" s="107">
        <f>(P57-K57)/(P5-K5)</f>
        <v>0.25654873602148076</v>
      </c>
      <c r="Q60" s="107">
        <f>(Q57-L57)/(Q5-L5)</f>
        <v>3.9163746788133613</v>
      </c>
      <c r="R60" s="102">
        <f t="shared" si="46"/>
        <v>0.12229545230236102</v>
      </c>
      <c r="S60" s="270">
        <f t="shared" si="46"/>
        <v>4.9473187095933686E-2</v>
      </c>
      <c r="T60" s="139"/>
      <c r="U60" s="139"/>
      <c r="V60" s="139"/>
      <c r="W60" s="139"/>
      <c r="X60" s="139"/>
      <c r="Y60" s="139"/>
      <c r="Z60" s="139"/>
      <c r="AA60" s="139"/>
      <c r="AB60" s="139"/>
      <c r="AC60" s="139"/>
      <c r="AD60" s="13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row>
    <row r="61" spans="1:87" s="2" customFormat="1" x14ac:dyDescent="0.2">
      <c r="A61" s="263" t="s">
        <v>65</v>
      </c>
      <c r="B61" s="57"/>
      <c r="C61" s="57"/>
      <c r="D61" s="97"/>
      <c r="E61" s="33"/>
      <c r="F61" s="108"/>
      <c r="G61" s="108"/>
      <c r="H61" s="109"/>
      <c r="I61" s="110"/>
      <c r="J61" s="110"/>
      <c r="K61" s="110"/>
      <c r="L61" s="110"/>
      <c r="M61" s="111"/>
      <c r="N61" s="110"/>
      <c r="O61" s="110"/>
      <c r="P61" s="5"/>
      <c r="Q61" s="5"/>
      <c r="R61" s="111"/>
      <c r="S61" s="227"/>
      <c r="T61" s="137"/>
      <c r="U61" s="137"/>
      <c r="V61" s="137"/>
      <c r="W61" s="137"/>
      <c r="X61" s="137"/>
      <c r="Y61" s="137"/>
      <c r="Z61" s="137"/>
      <c r="AA61" s="137"/>
      <c r="AB61" s="137"/>
      <c r="AC61" s="137"/>
      <c r="AD61" s="137"/>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row>
    <row r="62" spans="1:87" s="2" customFormat="1" x14ac:dyDescent="0.2">
      <c r="A62" s="221" t="s">
        <v>66</v>
      </c>
      <c r="B62" s="57">
        <v>508</v>
      </c>
      <c r="C62" s="57">
        <v>511</v>
      </c>
      <c r="D62" s="33">
        <v>226</v>
      </c>
      <c r="E62" s="33">
        <v>237</v>
      </c>
      <c r="F62" s="33">
        <v>312</v>
      </c>
      <c r="G62" s="33">
        <v>790</v>
      </c>
      <c r="H62" s="112">
        <f>SUM(D62:G62)</f>
        <v>1565</v>
      </c>
      <c r="I62" s="33">
        <v>590</v>
      </c>
      <c r="J62" s="33">
        <v>836</v>
      </c>
      <c r="K62" s="20">
        <v>744</v>
      </c>
      <c r="L62" s="20">
        <v>1294</v>
      </c>
      <c r="M62" s="112">
        <f>SUM(I62:L62)</f>
        <v>3464</v>
      </c>
      <c r="N62" s="33">
        <v>1489</v>
      </c>
      <c r="O62" s="33">
        <v>1838</v>
      </c>
      <c r="P62" s="5">
        <v>1112</v>
      </c>
      <c r="Q62" s="5">
        <v>1405</v>
      </c>
      <c r="R62" s="112">
        <f>SUM(N62:Q62)</f>
        <v>5844</v>
      </c>
      <c r="S62" s="227">
        <v>1108</v>
      </c>
      <c r="T62" s="137"/>
      <c r="U62" s="137"/>
      <c r="V62" s="137"/>
      <c r="W62" s="137"/>
      <c r="X62" s="137"/>
      <c r="Y62" s="137"/>
      <c r="Z62" s="137"/>
      <c r="AA62" s="137"/>
      <c r="AB62" s="137"/>
      <c r="AC62" s="137"/>
      <c r="AD62" s="137"/>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row>
    <row r="63" spans="1:87" s="50" customFormat="1" x14ac:dyDescent="0.2">
      <c r="A63" s="271" t="s">
        <v>67</v>
      </c>
      <c r="B63" s="71">
        <v>0.60235370770045205</v>
      </c>
      <c r="C63" s="71">
        <v>0.61679061485283337</v>
      </c>
      <c r="D63" s="90">
        <f t="shared" ref="D63:S63" si="47">(D8+D62)/D5</f>
        <v>0.59703825230981777</v>
      </c>
      <c r="E63" s="90">
        <f t="shared" si="47"/>
        <v>0.58558053434435131</v>
      </c>
      <c r="F63" s="90">
        <f t="shared" si="47"/>
        <v>0.61512416212539267</v>
      </c>
      <c r="G63" s="90">
        <f t="shared" si="47"/>
        <v>0.54366864318508479</v>
      </c>
      <c r="H63" s="113">
        <f t="shared" si="47"/>
        <v>0.58179369325245822</v>
      </c>
      <c r="I63" s="90">
        <f t="shared" si="47"/>
        <v>0.60612114540438433</v>
      </c>
      <c r="J63" s="90">
        <f t="shared" si="47"/>
        <v>0.63014038043593679</v>
      </c>
      <c r="K63" s="90">
        <f t="shared" si="47"/>
        <v>0.59470566323403951</v>
      </c>
      <c r="L63" s="90">
        <f t="shared" si="47"/>
        <v>0.63058282479879724</v>
      </c>
      <c r="M63" s="113">
        <f t="shared" si="47"/>
        <v>0.61643634462696939</v>
      </c>
      <c r="N63" s="90">
        <f t="shared" si="47"/>
        <v>0.64015301073228759</v>
      </c>
      <c r="O63" s="90">
        <f t="shared" si="47"/>
        <v>0.63880344614822093</v>
      </c>
      <c r="P63" s="90">
        <f>(P8+P62)/P5</f>
        <v>0.62795649793740216</v>
      </c>
      <c r="Q63" s="90">
        <f>(Q8+Q62)/Q5</f>
        <v>0.62720495638345786</v>
      </c>
      <c r="R63" s="113">
        <f t="shared" si="47"/>
        <v>0.63327082713193827</v>
      </c>
      <c r="S63" s="272">
        <f t="shared" si="47"/>
        <v>0.61166574372333538</v>
      </c>
      <c r="T63" s="150"/>
      <c r="U63" s="150"/>
      <c r="V63" s="150"/>
      <c r="W63" s="150"/>
      <c r="X63" s="150"/>
      <c r="Y63" s="150"/>
      <c r="Z63" s="150"/>
      <c r="AA63" s="150"/>
      <c r="AB63" s="150"/>
      <c r="AC63" s="150"/>
      <c r="AD63" s="150"/>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row>
    <row r="64" spans="1:87" s="2" customFormat="1" x14ac:dyDescent="0.2">
      <c r="A64" s="221" t="s">
        <v>68</v>
      </c>
      <c r="B64" s="57">
        <v>9047</v>
      </c>
      <c r="C64" s="57">
        <v>12710</v>
      </c>
      <c r="D64" s="33">
        <v>4681</v>
      </c>
      <c r="E64" s="33">
        <v>4941</v>
      </c>
      <c r="F64" s="33">
        <v>9508</v>
      </c>
      <c r="G64" s="33">
        <v>40212</v>
      </c>
      <c r="H64" s="34">
        <f t="shared" ref="H64:H65" si="48">SUM(D64:G64)</f>
        <v>59342</v>
      </c>
      <c r="I64" s="33">
        <v>14970</v>
      </c>
      <c r="J64" s="33">
        <v>26766</v>
      </c>
      <c r="K64" s="20">
        <v>19117</v>
      </c>
      <c r="L64" s="20">
        <v>43007</v>
      </c>
      <c r="M64" s="34">
        <f t="shared" ref="M64:M65" si="49">SUM(I64:L64)</f>
        <v>103860</v>
      </c>
      <c r="N64" s="33">
        <v>71015</v>
      </c>
      <c r="O64" s="33">
        <v>114089</v>
      </c>
      <c r="P64" s="5">
        <v>25969</v>
      </c>
      <c r="Q64" s="5">
        <v>27740</v>
      </c>
      <c r="R64" s="34">
        <f t="shared" ref="R64:R65" si="50">SUM(N64:Q64)</f>
        <v>238813</v>
      </c>
      <c r="S64" s="227">
        <v>10998</v>
      </c>
      <c r="T64" s="137"/>
      <c r="U64" s="137"/>
      <c r="V64" s="137"/>
      <c r="W64" s="137"/>
      <c r="X64" s="137"/>
      <c r="Y64" s="137"/>
      <c r="Z64" s="137"/>
      <c r="AA64" s="137"/>
      <c r="AB64" s="137"/>
      <c r="AC64" s="137"/>
      <c r="AD64" s="137"/>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row>
    <row r="65" spans="1:87" s="2" customFormat="1" x14ac:dyDescent="0.2">
      <c r="A65" s="221" t="s">
        <v>69</v>
      </c>
      <c r="B65" s="57">
        <v>6055</v>
      </c>
      <c r="C65" s="57">
        <v>8658</v>
      </c>
      <c r="D65" s="33">
        <v>2998</v>
      </c>
      <c r="E65" s="33">
        <v>3449</v>
      </c>
      <c r="F65" s="33">
        <v>3843</v>
      </c>
      <c r="G65" s="33">
        <v>7298</v>
      </c>
      <c r="H65" s="34">
        <f t="shared" si="48"/>
        <v>17588</v>
      </c>
      <c r="I65" s="33">
        <v>4635</v>
      </c>
      <c r="J65" s="33">
        <v>6233</v>
      </c>
      <c r="K65" s="20">
        <v>6233</v>
      </c>
      <c r="L65" s="20">
        <v>9147</v>
      </c>
      <c r="M65" s="34">
        <f t="shared" si="49"/>
        <v>26248</v>
      </c>
      <c r="N65" s="33">
        <v>17106</v>
      </c>
      <c r="O65" s="33">
        <v>21622</v>
      </c>
      <c r="P65" s="5">
        <v>7981</v>
      </c>
      <c r="Q65" s="5">
        <v>11965</v>
      </c>
      <c r="R65" s="34">
        <f t="shared" si="50"/>
        <v>58674</v>
      </c>
      <c r="S65" s="227">
        <v>12982</v>
      </c>
      <c r="T65" s="137"/>
      <c r="U65" s="137"/>
      <c r="V65" s="137"/>
      <c r="W65" s="137"/>
      <c r="X65" s="137"/>
      <c r="Y65" s="137"/>
      <c r="Z65" s="137"/>
      <c r="AA65" s="137"/>
      <c r="AB65" s="137"/>
      <c r="AC65" s="137"/>
      <c r="AD65" s="137"/>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row>
    <row r="66" spans="1:87" s="48" customFormat="1" x14ac:dyDescent="0.2">
      <c r="A66" s="273" t="s">
        <v>70</v>
      </c>
      <c r="B66" s="72">
        <v>3.7879801511352597E-2</v>
      </c>
      <c r="C66" s="72">
        <v>0.11000361846177285</v>
      </c>
      <c r="D66" s="48">
        <f t="shared" ref="D66:S66" si="51">(D16+D64+D65)/D5</f>
        <v>8.9370520680424836E-2</v>
      </c>
      <c r="E66" s="48">
        <f t="shared" si="51"/>
        <v>6.3144123458108617E-2</v>
      </c>
      <c r="F66" s="48">
        <f t="shared" si="51"/>
        <v>0.15260973577810558</v>
      </c>
      <c r="G66" s="48">
        <f t="shared" si="51"/>
        <v>0.19274836922683022</v>
      </c>
      <c r="H66" s="49">
        <f t="shared" si="51"/>
        <v>0.13287119014429416</v>
      </c>
      <c r="I66" s="48">
        <f t="shared" si="51"/>
        <v>0.12778434650249385</v>
      </c>
      <c r="J66" s="48">
        <f t="shared" si="51"/>
        <v>0.13679128409517269</v>
      </c>
      <c r="K66" s="48">
        <f t="shared" si="51"/>
        <v>0.11956717655399479</v>
      </c>
      <c r="L66" s="48">
        <f t="shared" si="51"/>
        <v>0.25616432298576103</v>
      </c>
      <c r="M66" s="49">
        <f t="shared" si="51"/>
        <v>0.17027531449934877</v>
      </c>
      <c r="N66" s="48">
        <f t="shared" si="51"/>
        <v>0.1941298027371692</v>
      </c>
      <c r="O66" s="48">
        <f t="shared" si="51"/>
        <v>0.19207934367787199</v>
      </c>
      <c r="P66" s="48">
        <f t="shared" si="51"/>
        <v>0.15880063278862361</v>
      </c>
      <c r="Q66" s="48">
        <f t="shared" si="51"/>
        <v>5.8089512726470505E-2</v>
      </c>
      <c r="R66" s="49">
        <f t="shared" si="51"/>
        <v>0.14983419834348916</v>
      </c>
      <c r="S66" s="274">
        <f t="shared" si="51"/>
        <v>0.16056874107929772</v>
      </c>
      <c r="T66" s="150"/>
      <c r="U66" s="150"/>
      <c r="V66" s="150"/>
      <c r="W66" s="150"/>
      <c r="X66" s="150"/>
      <c r="Y66" s="150"/>
      <c r="Z66" s="150"/>
      <c r="AA66" s="150"/>
      <c r="AB66" s="150"/>
      <c r="AC66" s="150"/>
      <c r="AD66" s="150"/>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row>
    <row r="67" spans="1:87" x14ac:dyDescent="0.2">
      <c r="A67" s="240" t="s">
        <v>71</v>
      </c>
      <c r="B67" s="69">
        <f>B65+B64+B62</f>
        <v>15610</v>
      </c>
      <c r="C67" s="69">
        <f>C65+C64+C62</f>
        <v>21879</v>
      </c>
      <c r="D67" s="275">
        <f>D62+D64+D65</f>
        <v>7905</v>
      </c>
      <c r="E67" s="276">
        <f>E62+E64+E65</f>
        <v>8627</v>
      </c>
      <c r="F67" s="276">
        <f>F62+F64+F65</f>
        <v>13663</v>
      </c>
      <c r="G67" s="276">
        <f>G62+G64+G65</f>
        <v>48300</v>
      </c>
      <c r="H67" s="277">
        <f>SUM(D67:G67)</f>
        <v>78495</v>
      </c>
      <c r="I67" s="275">
        <f>I62+I64+I65</f>
        <v>20195</v>
      </c>
      <c r="J67" s="276">
        <f>J62+J64+J65</f>
        <v>33835</v>
      </c>
      <c r="K67" s="276">
        <f>K62+K64+K65</f>
        <v>26094</v>
      </c>
      <c r="L67" s="276">
        <f>L62+L64+L65</f>
        <v>53448</v>
      </c>
      <c r="M67" s="277">
        <f>SUM(I67:L67)</f>
        <v>133572</v>
      </c>
      <c r="N67" s="276">
        <f>N62+N64+N65</f>
        <v>89610</v>
      </c>
      <c r="O67" s="276">
        <f>O62+O64+O65</f>
        <v>137549</v>
      </c>
      <c r="P67" s="276">
        <f t="shared" ref="P67:S67" si="52">P62+P64+P65</f>
        <v>35062</v>
      </c>
      <c r="Q67" s="276">
        <f t="shared" si="52"/>
        <v>41110</v>
      </c>
      <c r="R67" s="277">
        <f>SUM(N67:Q67)</f>
        <v>303331</v>
      </c>
      <c r="S67" s="278">
        <f t="shared" si="52"/>
        <v>25088</v>
      </c>
    </row>
    <row r="68" spans="1:87" x14ac:dyDescent="0.2">
      <c r="A68" s="240"/>
      <c r="D68" s="241"/>
      <c r="E68" s="249"/>
      <c r="F68" s="242"/>
      <c r="G68" s="242"/>
      <c r="H68" s="243"/>
      <c r="I68" s="242"/>
      <c r="J68" s="242"/>
      <c r="K68" s="242"/>
      <c r="L68" s="242"/>
      <c r="M68" s="244"/>
      <c r="N68" s="242"/>
      <c r="O68" s="242"/>
      <c r="P68" s="245"/>
      <c r="Q68" s="245"/>
      <c r="R68" s="244"/>
      <c r="S68" s="246"/>
    </row>
    <row r="69" spans="1:87" s="44" customFormat="1" ht="48.5" customHeight="1" x14ac:dyDescent="0.25">
      <c r="A69" s="216" t="s">
        <v>72</v>
      </c>
      <c r="B69" s="55"/>
      <c r="C69" s="55"/>
      <c r="D69" s="217"/>
      <c r="E69" s="217"/>
      <c r="F69" s="217"/>
      <c r="G69" s="217"/>
      <c r="H69" s="217"/>
      <c r="I69" s="217"/>
      <c r="J69" s="217"/>
      <c r="K69" s="217"/>
      <c r="L69" s="217"/>
      <c r="M69" s="217"/>
      <c r="N69" s="217"/>
      <c r="O69" s="217"/>
      <c r="P69" s="217"/>
      <c r="Q69" s="217"/>
      <c r="R69" s="217"/>
      <c r="S69" s="220"/>
      <c r="T69" s="135"/>
      <c r="U69" s="135"/>
      <c r="V69" s="135"/>
      <c r="W69" s="135"/>
      <c r="X69" s="135"/>
      <c r="Y69" s="135"/>
      <c r="Z69" s="135"/>
      <c r="AA69" s="135"/>
      <c r="AB69" s="135"/>
      <c r="AC69" s="135"/>
      <c r="AD69" s="135"/>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c r="BU69" s="136"/>
      <c r="BV69" s="136"/>
      <c r="BW69" s="136"/>
      <c r="BX69" s="136"/>
      <c r="BY69" s="136"/>
      <c r="BZ69" s="136"/>
      <c r="CA69" s="136"/>
      <c r="CB69" s="136"/>
      <c r="CC69" s="136"/>
      <c r="CD69" s="136"/>
      <c r="CE69" s="136"/>
      <c r="CF69" s="136"/>
      <c r="CG69" s="136"/>
      <c r="CH69" s="136"/>
      <c r="CI69" s="136"/>
    </row>
    <row r="70" spans="1:87" s="2" customFormat="1" x14ac:dyDescent="0.2">
      <c r="A70" s="263" t="s">
        <v>73</v>
      </c>
      <c r="B70" s="75"/>
      <c r="C70" s="75"/>
      <c r="D70" s="87"/>
      <c r="E70" s="87"/>
      <c r="F70" s="87"/>
      <c r="G70" s="87"/>
      <c r="H70" s="51"/>
      <c r="I70" s="87"/>
      <c r="J70" s="98"/>
      <c r="K70" s="98"/>
      <c r="L70" s="98"/>
      <c r="M70" s="34"/>
      <c r="N70" s="87"/>
      <c r="O70" s="98"/>
      <c r="P70" s="5"/>
      <c r="Q70" s="5"/>
      <c r="R70" s="34"/>
      <c r="S70" s="227"/>
      <c r="T70" s="137"/>
      <c r="U70" s="137"/>
      <c r="V70" s="137"/>
      <c r="W70" s="137"/>
      <c r="X70" s="137"/>
      <c r="Y70" s="137"/>
      <c r="Z70" s="137"/>
      <c r="AA70" s="137"/>
      <c r="AB70" s="137"/>
      <c r="AC70" s="137"/>
      <c r="AD70" s="137"/>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row>
    <row r="71" spans="1:87" s="2" customFormat="1" x14ac:dyDescent="0.2">
      <c r="A71" s="221" t="s">
        <v>74</v>
      </c>
      <c r="B71" s="57"/>
      <c r="C71" s="57"/>
      <c r="D71" s="97"/>
      <c r="E71" s="5"/>
      <c r="F71" s="5"/>
      <c r="G71" s="5"/>
      <c r="H71" s="51"/>
      <c r="I71" s="98"/>
      <c r="J71" s="98"/>
      <c r="K71" s="98"/>
      <c r="L71" s="98"/>
      <c r="M71" s="34"/>
      <c r="N71" s="98"/>
      <c r="O71" s="98"/>
      <c r="P71" s="5"/>
      <c r="Q71" s="5"/>
      <c r="R71" s="34"/>
      <c r="S71" s="227"/>
      <c r="T71" s="137"/>
      <c r="U71" s="137"/>
      <c r="V71" s="137"/>
      <c r="W71" s="137"/>
      <c r="X71" s="137"/>
      <c r="Y71" s="137"/>
      <c r="Z71" s="137"/>
      <c r="AA71" s="137"/>
      <c r="AB71" s="137"/>
      <c r="AC71" s="137"/>
      <c r="AD71" s="137"/>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row>
    <row r="72" spans="1:87" s="2" customFormat="1" x14ac:dyDescent="0.2">
      <c r="A72" s="221" t="s">
        <v>75</v>
      </c>
      <c r="B72" s="73"/>
      <c r="C72" s="73"/>
      <c r="D72" s="107"/>
      <c r="E72" s="107"/>
      <c r="F72" s="107"/>
      <c r="G72" s="107"/>
      <c r="H72" s="114"/>
      <c r="I72" s="98"/>
      <c r="J72" s="98"/>
      <c r="K72" s="98"/>
      <c r="L72" s="98"/>
      <c r="M72" s="34"/>
      <c r="N72" s="98"/>
      <c r="O72" s="98"/>
      <c r="P72" s="5"/>
      <c r="Q72" s="5"/>
      <c r="R72" s="34"/>
      <c r="S72" s="227"/>
      <c r="T72" s="137"/>
      <c r="U72" s="137"/>
      <c r="V72" s="137"/>
      <c r="W72" s="137"/>
      <c r="X72" s="137"/>
      <c r="Y72" s="137"/>
      <c r="Z72" s="137"/>
      <c r="AA72" s="137"/>
      <c r="AB72" s="137"/>
      <c r="AC72" s="137"/>
      <c r="AD72" s="137"/>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row>
    <row r="73" spans="1:87" s="2" customFormat="1" x14ac:dyDescent="0.2">
      <c r="A73" s="221" t="s">
        <v>76</v>
      </c>
      <c r="B73" s="57">
        <v>75105</v>
      </c>
      <c r="C73" s="57">
        <v>349462</v>
      </c>
      <c r="D73" s="33">
        <v>223642</v>
      </c>
      <c r="E73" s="20">
        <v>219720</v>
      </c>
      <c r="F73" s="33">
        <v>202551</v>
      </c>
      <c r="G73" s="33">
        <v>172250</v>
      </c>
      <c r="H73" s="24">
        <f>G73</f>
        <v>172250</v>
      </c>
      <c r="I73" s="33">
        <v>156540</v>
      </c>
      <c r="J73" s="33">
        <v>319253</v>
      </c>
      <c r="K73" s="20">
        <v>176000</v>
      </c>
      <c r="L73" s="20">
        <v>155440</v>
      </c>
      <c r="M73" s="24">
        <f>L73</f>
        <v>155440</v>
      </c>
      <c r="N73" s="33">
        <v>154822</v>
      </c>
      <c r="O73" s="33">
        <v>266372</v>
      </c>
      <c r="P73" s="5">
        <v>281691</v>
      </c>
      <c r="Q73" s="5">
        <v>356332</v>
      </c>
      <c r="R73" s="24">
        <f>Q73</f>
        <v>356332</v>
      </c>
      <c r="S73" s="227">
        <v>386367</v>
      </c>
      <c r="T73" s="137"/>
      <c r="U73" s="137"/>
      <c r="V73" s="137"/>
      <c r="W73" s="137"/>
      <c r="X73" s="137"/>
      <c r="Y73" s="137"/>
      <c r="Z73" s="137"/>
      <c r="AA73" s="137"/>
      <c r="AB73" s="137"/>
      <c r="AC73" s="137"/>
      <c r="AD73" s="137"/>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row>
    <row r="74" spans="1:87" s="2" customFormat="1" x14ac:dyDescent="0.2">
      <c r="A74" s="221" t="s">
        <v>77</v>
      </c>
      <c r="B74" s="57">
        <v>6862</v>
      </c>
      <c r="C74" s="57">
        <v>0</v>
      </c>
      <c r="D74" s="33">
        <v>105312</v>
      </c>
      <c r="E74" s="20">
        <v>116629</v>
      </c>
      <c r="F74" s="33">
        <v>108913</v>
      </c>
      <c r="G74" s="33">
        <v>178534</v>
      </c>
      <c r="H74" s="24">
        <f t="shared" ref="H74:H112" si="53">G74</f>
        <v>178534</v>
      </c>
      <c r="I74" s="33">
        <v>188673</v>
      </c>
      <c r="J74" s="33">
        <v>237980</v>
      </c>
      <c r="K74" s="20">
        <v>330914</v>
      </c>
      <c r="L74" s="20">
        <v>406525</v>
      </c>
      <c r="M74" s="24">
        <f t="shared" ref="M74:M90" si="54">L74</f>
        <v>406525</v>
      </c>
      <c r="N74" s="33">
        <v>440842</v>
      </c>
      <c r="O74" s="33">
        <v>388895</v>
      </c>
      <c r="P74" s="5">
        <v>216557</v>
      </c>
      <c r="Q74" s="5">
        <v>14510</v>
      </c>
      <c r="R74" s="24">
        <f t="shared" ref="R74:R90" si="55">Q74</f>
        <v>14510</v>
      </c>
      <c r="S74" s="227">
        <v>57600</v>
      </c>
      <c r="T74" s="137"/>
      <c r="U74" s="137"/>
      <c r="V74" s="137"/>
      <c r="W74" s="137"/>
      <c r="X74" s="137"/>
      <c r="Y74" s="137"/>
      <c r="Z74" s="137"/>
      <c r="AA74" s="137"/>
      <c r="AB74" s="137"/>
      <c r="AC74" s="137"/>
      <c r="AD74" s="137"/>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row>
    <row r="75" spans="1:87" s="2" customFormat="1" x14ac:dyDescent="0.2">
      <c r="A75" s="221" t="s">
        <v>78</v>
      </c>
      <c r="B75" s="57"/>
      <c r="C75" s="57"/>
      <c r="D75" s="33"/>
      <c r="E75" s="20"/>
      <c r="F75" s="33"/>
      <c r="G75" s="33"/>
      <c r="H75" s="24"/>
      <c r="I75" s="33"/>
      <c r="J75" s="33"/>
      <c r="K75" s="20"/>
      <c r="L75" s="20"/>
      <c r="M75" s="24"/>
      <c r="N75" s="33"/>
      <c r="O75" s="33"/>
      <c r="P75" s="5">
        <v>83340</v>
      </c>
      <c r="Q75" s="5">
        <v>72180</v>
      </c>
      <c r="R75" s="24">
        <f t="shared" si="55"/>
        <v>72180</v>
      </c>
      <c r="S75" s="227">
        <v>20024</v>
      </c>
      <c r="T75" s="137"/>
      <c r="U75" s="137"/>
      <c r="V75" s="137"/>
      <c r="W75" s="137"/>
      <c r="X75" s="137"/>
      <c r="Y75" s="137"/>
      <c r="Z75" s="137"/>
      <c r="AA75" s="137"/>
      <c r="AB75" s="137"/>
      <c r="AC75" s="137"/>
      <c r="AD75" s="137"/>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row>
    <row r="76" spans="1:87" s="2" customFormat="1" x14ac:dyDescent="0.2">
      <c r="A76" s="221" t="s">
        <v>79</v>
      </c>
      <c r="B76" s="57">
        <v>56064</v>
      </c>
      <c r="C76" s="57">
        <v>130579</v>
      </c>
      <c r="D76" s="33">
        <v>149096</v>
      </c>
      <c r="E76" s="20">
        <v>134630</v>
      </c>
      <c r="F76" s="33">
        <v>149013</v>
      </c>
      <c r="G76" s="33">
        <v>146878</v>
      </c>
      <c r="H76" s="24">
        <f t="shared" si="53"/>
        <v>146878</v>
      </c>
      <c r="I76" s="33">
        <v>147945</v>
      </c>
      <c r="J76" s="33">
        <v>154253</v>
      </c>
      <c r="K76" s="20">
        <v>172803</v>
      </c>
      <c r="L76" s="20">
        <v>229201</v>
      </c>
      <c r="M76" s="24">
        <f t="shared" si="54"/>
        <v>229201</v>
      </c>
      <c r="N76" s="33">
        <v>185373</v>
      </c>
      <c r="O76" s="33">
        <v>201907</v>
      </c>
      <c r="P76" s="5">
        <v>265267</v>
      </c>
      <c r="Q76" s="5">
        <v>320819</v>
      </c>
      <c r="R76" s="24">
        <f t="shared" si="55"/>
        <v>320819</v>
      </c>
      <c r="S76" s="227">
        <v>344907</v>
      </c>
      <c r="T76" s="137"/>
      <c r="U76" s="137"/>
      <c r="V76" s="137"/>
      <c r="W76" s="137"/>
      <c r="X76" s="137"/>
      <c r="Y76" s="137"/>
      <c r="Z76" s="137"/>
      <c r="AA76" s="137"/>
      <c r="AB76" s="137"/>
      <c r="AC76" s="137"/>
      <c r="AD76" s="137"/>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row>
    <row r="77" spans="1:87" s="2" customFormat="1" x14ac:dyDescent="0.2">
      <c r="A77" s="221" t="s">
        <v>80</v>
      </c>
      <c r="B77" s="57">
        <v>0</v>
      </c>
      <c r="C77" s="57">
        <v>13960</v>
      </c>
      <c r="D77" s="33">
        <v>17945</v>
      </c>
      <c r="E77" s="20">
        <v>26648</v>
      </c>
      <c r="F77" s="33">
        <v>33602</v>
      </c>
      <c r="G77" s="33">
        <v>38102</v>
      </c>
      <c r="H77" s="24">
        <f t="shared" si="53"/>
        <v>38102</v>
      </c>
      <c r="I77" s="33">
        <v>43959</v>
      </c>
      <c r="J77" s="33">
        <v>50799</v>
      </c>
      <c r="K77" s="20">
        <v>63105</v>
      </c>
      <c r="L77" s="20">
        <v>63945</v>
      </c>
      <c r="M77" s="24">
        <f t="shared" si="54"/>
        <v>63945</v>
      </c>
      <c r="N77" s="33">
        <v>72472</v>
      </c>
      <c r="O77" s="33">
        <v>86561</v>
      </c>
      <c r="P77" s="5">
        <v>130976</v>
      </c>
      <c r="Q77" s="5">
        <v>180421</v>
      </c>
      <c r="R77" s="24">
        <f t="shared" si="55"/>
        <v>180421</v>
      </c>
      <c r="S77" s="227">
        <v>147861</v>
      </c>
      <c r="T77" s="137"/>
      <c r="U77" s="137"/>
      <c r="V77" s="137"/>
      <c r="W77" s="137"/>
      <c r="X77" s="137"/>
      <c r="Y77" s="137"/>
      <c r="Z77" s="137"/>
      <c r="AA77" s="137"/>
      <c r="AB77" s="137"/>
      <c r="AC77" s="137"/>
      <c r="AD77" s="137"/>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row>
    <row r="78" spans="1:87" s="2" customFormat="1" x14ac:dyDescent="0.2">
      <c r="A78" s="221" t="s">
        <v>81</v>
      </c>
      <c r="B78" s="57">
        <v>45465</v>
      </c>
      <c r="C78" s="57">
        <v>33763</v>
      </c>
      <c r="D78" s="33">
        <v>37587</v>
      </c>
      <c r="E78" s="20">
        <v>40999</v>
      </c>
      <c r="F78" s="33">
        <v>40666</v>
      </c>
      <c r="G78" s="33">
        <v>38845</v>
      </c>
      <c r="H78" s="24">
        <f t="shared" si="53"/>
        <v>38845</v>
      </c>
      <c r="I78" s="33">
        <v>46922</v>
      </c>
      <c r="J78" s="33">
        <v>81010</v>
      </c>
      <c r="K78" s="20">
        <v>97610</v>
      </c>
      <c r="L78" s="20">
        <v>89958</v>
      </c>
      <c r="M78" s="24">
        <f t="shared" si="54"/>
        <v>89958</v>
      </c>
      <c r="N78" s="33">
        <v>89657</v>
      </c>
      <c r="O78" s="33">
        <v>91739</v>
      </c>
      <c r="P78" s="5">
        <v>93279</v>
      </c>
      <c r="Q78" s="5">
        <v>108688</v>
      </c>
      <c r="R78" s="24">
        <f t="shared" si="55"/>
        <v>108688</v>
      </c>
      <c r="S78" s="227">
        <v>122150</v>
      </c>
      <c r="T78" s="137"/>
      <c r="U78" s="137"/>
      <c r="V78" s="137"/>
      <c r="W78" s="137"/>
      <c r="X78" s="137"/>
      <c r="Y78" s="137"/>
      <c r="Z78" s="137"/>
      <c r="AA78" s="137"/>
      <c r="AB78" s="137"/>
      <c r="AC78" s="137"/>
      <c r="AD78" s="137"/>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row>
    <row r="79" spans="1:87" s="3" customFormat="1" x14ac:dyDescent="0.2">
      <c r="A79" s="225" t="s">
        <v>82</v>
      </c>
      <c r="B79" s="59">
        <v>21696</v>
      </c>
      <c r="C79" s="59">
        <v>30391</v>
      </c>
      <c r="D79" s="31">
        <v>33340</v>
      </c>
      <c r="E79" s="21">
        <v>36429</v>
      </c>
      <c r="F79" s="31">
        <v>41277</v>
      </c>
      <c r="G79" s="31">
        <v>34866</v>
      </c>
      <c r="H79" s="23">
        <f t="shared" si="53"/>
        <v>34866</v>
      </c>
      <c r="I79" s="31">
        <v>34702</v>
      </c>
      <c r="J79" s="31">
        <v>42429</v>
      </c>
      <c r="K79" s="21">
        <v>35421</v>
      </c>
      <c r="L79" s="21">
        <v>36883</v>
      </c>
      <c r="M79" s="23">
        <f t="shared" si="54"/>
        <v>36883</v>
      </c>
      <c r="N79" s="31">
        <v>43063</v>
      </c>
      <c r="O79" s="31">
        <v>45456</v>
      </c>
      <c r="P79" s="3">
        <v>52710</v>
      </c>
      <c r="Q79" s="3">
        <v>56540</v>
      </c>
      <c r="R79" s="23">
        <f t="shared" si="55"/>
        <v>56540</v>
      </c>
      <c r="S79" s="226">
        <v>67208</v>
      </c>
      <c r="T79" s="137"/>
      <c r="U79" s="137"/>
      <c r="V79" s="137"/>
      <c r="W79" s="137"/>
      <c r="X79" s="137"/>
      <c r="Y79" s="137"/>
      <c r="Z79" s="137"/>
      <c r="AA79" s="137"/>
      <c r="AB79" s="137"/>
      <c r="AC79" s="137"/>
      <c r="AD79" s="137"/>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row>
    <row r="80" spans="1:87" s="2" customFormat="1" x14ac:dyDescent="0.2">
      <c r="A80" s="221" t="s">
        <v>83</v>
      </c>
      <c r="B80" s="57">
        <v>205192</v>
      </c>
      <c r="C80" s="57">
        <v>558155</v>
      </c>
      <c r="D80" s="5">
        <f>SUM(D73:D79)</f>
        <v>566922</v>
      </c>
      <c r="E80" s="20">
        <f>SUM(E73:E79)</f>
        <v>575055</v>
      </c>
      <c r="F80" s="20">
        <f>SUM(F73:F79)</f>
        <v>576022</v>
      </c>
      <c r="G80" s="33">
        <f>SUM(G73:G79)</f>
        <v>609475</v>
      </c>
      <c r="H80" s="24">
        <f t="shared" si="53"/>
        <v>609475</v>
      </c>
      <c r="I80" s="33">
        <f>SUM(I73:I79)</f>
        <v>618741</v>
      </c>
      <c r="J80" s="33">
        <f>SUM(J73:J79)</f>
        <v>885724</v>
      </c>
      <c r="K80" s="33">
        <f>SUM(K73:K79)</f>
        <v>875853</v>
      </c>
      <c r="L80" s="33">
        <f>SUM(L73:L79)</f>
        <v>981952</v>
      </c>
      <c r="M80" s="24">
        <f t="shared" si="54"/>
        <v>981952</v>
      </c>
      <c r="N80" s="33">
        <f>SUM(N73:N79)</f>
        <v>986229</v>
      </c>
      <c r="O80" s="33">
        <f>SUM(O73:O79)</f>
        <v>1080930</v>
      </c>
      <c r="P80" s="33">
        <f t="shared" ref="P80:S80" si="56">SUM(P73:P79)</f>
        <v>1123820</v>
      </c>
      <c r="Q80" s="33">
        <f t="shared" si="56"/>
        <v>1109490</v>
      </c>
      <c r="R80" s="24">
        <f t="shared" si="55"/>
        <v>1109490</v>
      </c>
      <c r="S80" s="233">
        <f t="shared" si="56"/>
        <v>1146117</v>
      </c>
      <c r="T80" s="137"/>
      <c r="U80" s="137"/>
      <c r="V80" s="137"/>
      <c r="W80" s="137"/>
      <c r="X80" s="137"/>
      <c r="Y80" s="137"/>
      <c r="Z80" s="137"/>
      <c r="AA80" s="137"/>
      <c r="AB80" s="137"/>
      <c r="AC80" s="137"/>
      <c r="AD80" s="137"/>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row>
    <row r="81" spans="1:87" s="2" customFormat="1" x14ac:dyDescent="0.2">
      <c r="A81" s="221" t="s">
        <v>84</v>
      </c>
      <c r="B81" s="57">
        <v>31172</v>
      </c>
      <c r="C81" s="57">
        <v>37893</v>
      </c>
      <c r="D81" s="33">
        <v>41347</v>
      </c>
      <c r="E81" s="20">
        <v>40500</v>
      </c>
      <c r="F81" s="33">
        <v>42592</v>
      </c>
      <c r="G81" s="33">
        <v>43770</v>
      </c>
      <c r="H81" s="24">
        <f t="shared" si="53"/>
        <v>43770</v>
      </c>
      <c r="I81" s="33">
        <v>43065</v>
      </c>
      <c r="J81" s="33">
        <v>45386</v>
      </c>
      <c r="K81" s="20">
        <v>102718</v>
      </c>
      <c r="L81" s="20">
        <v>105494</v>
      </c>
      <c r="M81" s="24">
        <f t="shared" si="54"/>
        <v>105494</v>
      </c>
      <c r="N81" s="33">
        <v>112119</v>
      </c>
      <c r="O81" s="33">
        <v>119933</v>
      </c>
      <c r="P81" s="5">
        <v>128808</v>
      </c>
      <c r="Q81" s="5">
        <v>138457</v>
      </c>
      <c r="R81" s="24">
        <f t="shared" si="55"/>
        <v>138457</v>
      </c>
      <c r="S81" s="227">
        <v>149505</v>
      </c>
      <c r="T81" s="137"/>
      <c r="U81" s="137"/>
      <c r="V81" s="137"/>
      <c r="W81" s="137"/>
      <c r="X81" s="137"/>
      <c r="Y81" s="137"/>
      <c r="Z81" s="137"/>
      <c r="AA81" s="137"/>
      <c r="AB81" s="137"/>
      <c r="AC81" s="137"/>
      <c r="AD81" s="137"/>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row>
    <row r="82" spans="1:87" s="2" customFormat="1" x14ac:dyDescent="0.2">
      <c r="A82" s="221" t="s">
        <v>85</v>
      </c>
      <c r="B82" s="57">
        <v>15755</v>
      </c>
      <c r="C82" s="57">
        <v>19347</v>
      </c>
      <c r="D82" s="33">
        <v>18770</v>
      </c>
      <c r="E82" s="20">
        <v>20658</v>
      </c>
      <c r="F82" s="33">
        <v>23290</v>
      </c>
      <c r="G82" s="33">
        <v>27688</v>
      </c>
      <c r="H82" s="24">
        <f t="shared" si="53"/>
        <v>27688</v>
      </c>
      <c r="I82" s="33">
        <v>29433</v>
      </c>
      <c r="J82" s="33">
        <v>34142</v>
      </c>
      <c r="K82" s="20">
        <v>39773</v>
      </c>
      <c r="L82" s="20">
        <v>45770</v>
      </c>
      <c r="M82" s="24">
        <f t="shared" si="54"/>
        <v>45770</v>
      </c>
      <c r="N82" s="33">
        <v>46403</v>
      </c>
      <c r="O82" s="33">
        <v>52387</v>
      </c>
      <c r="P82" s="5">
        <v>104169</v>
      </c>
      <c r="Q82" s="5">
        <v>127193</v>
      </c>
      <c r="R82" s="24">
        <f t="shared" si="55"/>
        <v>127193</v>
      </c>
      <c r="S82" s="227">
        <v>108840</v>
      </c>
      <c r="T82" s="137"/>
      <c r="U82" s="137"/>
      <c r="V82" s="137"/>
      <c r="W82" s="137"/>
      <c r="X82" s="137"/>
      <c r="Y82" s="137"/>
      <c r="Z82" s="137"/>
      <c r="AA82" s="137"/>
      <c r="AB82" s="137"/>
      <c r="AC82" s="137"/>
      <c r="AD82" s="137"/>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row>
    <row r="83" spans="1:87" s="2" customFormat="1" x14ac:dyDescent="0.2">
      <c r="A83" s="221" t="s">
        <v>86</v>
      </c>
      <c r="B83" s="57">
        <v>18823</v>
      </c>
      <c r="C83" s="57">
        <v>15935</v>
      </c>
      <c r="D83" s="33">
        <v>15067</v>
      </c>
      <c r="E83" s="20">
        <v>14424</v>
      </c>
      <c r="F83" s="33">
        <v>13528</v>
      </c>
      <c r="G83" s="33">
        <v>12771</v>
      </c>
      <c r="H83" s="24">
        <f t="shared" si="53"/>
        <v>12771</v>
      </c>
      <c r="I83" s="33">
        <v>11929</v>
      </c>
      <c r="J83" s="33">
        <v>11146</v>
      </c>
      <c r="K83" s="20">
        <v>10260</v>
      </c>
      <c r="L83" s="20">
        <v>9448</v>
      </c>
      <c r="M83" s="24">
        <f t="shared" si="54"/>
        <v>9448</v>
      </c>
      <c r="N83" s="33">
        <v>8642</v>
      </c>
      <c r="O83" s="33">
        <v>7870</v>
      </c>
      <c r="P83" s="5">
        <v>7426</v>
      </c>
      <c r="Q83" s="5">
        <v>15470</v>
      </c>
      <c r="R83" s="24">
        <f t="shared" si="55"/>
        <v>15470</v>
      </c>
      <c r="S83" s="227">
        <v>14399</v>
      </c>
      <c r="T83" s="137"/>
      <c r="U83" s="137"/>
      <c r="V83" s="137"/>
      <c r="W83" s="137"/>
      <c r="X83" s="137"/>
      <c r="Y83" s="137"/>
      <c r="Z83" s="137"/>
      <c r="AA83" s="137"/>
      <c r="AB83" s="137"/>
      <c r="AC83" s="137"/>
      <c r="AD83" s="137"/>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row>
    <row r="84" spans="1:87" s="2" customFormat="1" x14ac:dyDescent="0.2">
      <c r="A84" s="221" t="s">
        <v>87</v>
      </c>
      <c r="B84" s="57">
        <v>14927</v>
      </c>
      <c r="C84" s="57">
        <v>24981</v>
      </c>
      <c r="D84" s="33">
        <v>25017</v>
      </c>
      <c r="E84" s="20">
        <v>24969</v>
      </c>
      <c r="F84" s="33">
        <v>24876</v>
      </c>
      <c r="G84" s="33">
        <v>25013</v>
      </c>
      <c r="H84" s="24">
        <f t="shared" si="53"/>
        <v>25013</v>
      </c>
      <c r="I84" s="33">
        <v>24752</v>
      </c>
      <c r="J84" s="33">
        <v>24905</v>
      </c>
      <c r="K84" s="20">
        <v>25012</v>
      </c>
      <c r="L84" s="20">
        <v>25205</v>
      </c>
      <c r="M84" s="24">
        <f t="shared" si="54"/>
        <v>25205</v>
      </c>
      <c r="N84" s="33">
        <v>25194</v>
      </c>
      <c r="O84" s="33">
        <v>25178</v>
      </c>
      <c r="P84" s="5">
        <v>25571</v>
      </c>
      <c r="Q84" s="5">
        <v>43592</v>
      </c>
      <c r="R84" s="24">
        <f t="shared" si="55"/>
        <v>43592</v>
      </c>
      <c r="S84" s="227">
        <v>43607</v>
      </c>
      <c r="T84" s="137"/>
      <c r="U84" s="137"/>
      <c r="V84" s="137"/>
      <c r="W84" s="137"/>
      <c r="X84" s="137"/>
      <c r="Y84" s="137"/>
      <c r="Z84" s="137"/>
      <c r="AA84" s="137"/>
      <c r="AB84" s="137"/>
      <c r="AC84" s="137"/>
      <c r="AD84" s="137"/>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row>
    <row r="85" spans="1:87" s="2" customFormat="1" x14ac:dyDescent="0.2">
      <c r="A85" s="221" t="s">
        <v>88</v>
      </c>
      <c r="B85" s="57">
        <v>0</v>
      </c>
      <c r="C85" s="57">
        <v>0</v>
      </c>
      <c r="D85" s="5">
        <v>0</v>
      </c>
      <c r="E85" s="20">
        <v>0</v>
      </c>
      <c r="F85" s="33">
        <v>41391</v>
      </c>
      <c r="G85" s="33">
        <v>45499</v>
      </c>
      <c r="H85" s="24">
        <f t="shared" si="53"/>
        <v>45499</v>
      </c>
      <c r="I85" s="33">
        <v>50225</v>
      </c>
      <c r="J85" s="33">
        <v>129580</v>
      </c>
      <c r="K85" s="20">
        <v>120615</v>
      </c>
      <c r="L85" s="20">
        <v>90681</v>
      </c>
      <c r="M85" s="24">
        <f t="shared" si="54"/>
        <v>90681</v>
      </c>
      <c r="N85" s="33">
        <v>78464</v>
      </c>
      <c r="O85" s="33">
        <v>48669</v>
      </c>
      <c r="P85" s="5">
        <v>49431</v>
      </c>
      <c r="Q85" s="5">
        <v>31232</v>
      </c>
      <c r="R85" s="24">
        <f t="shared" si="55"/>
        <v>31232</v>
      </c>
      <c r="S85" s="227">
        <v>17731</v>
      </c>
      <c r="T85" s="137"/>
      <c r="U85" s="137"/>
      <c r="V85" s="137"/>
      <c r="W85" s="137"/>
      <c r="X85" s="137"/>
      <c r="Y85" s="137"/>
      <c r="Z85" s="137"/>
      <c r="AA85" s="137"/>
      <c r="AB85" s="137"/>
      <c r="AC85" s="137"/>
      <c r="AD85" s="137"/>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row>
    <row r="86" spans="1:87" s="2" customFormat="1" x14ac:dyDescent="0.2">
      <c r="A86" s="221" t="s">
        <v>89</v>
      </c>
      <c r="B86" s="57">
        <v>36877</v>
      </c>
      <c r="C86" s="57">
        <v>40230</v>
      </c>
      <c r="D86" s="33">
        <v>36316</v>
      </c>
      <c r="E86" s="20">
        <v>35170</v>
      </c>
      <c r="F86" s="33">
        <v>33463</v>
      </c>
      <c r="G86" s="33">
        <v>31598</v>
      </c>
      <c r="H86" s="24">
        <f t="shared" si="53"/>
        <v>31598</v>
      </c>
      <c r="I86" s="33">
        <v>27556</v>
      </c>
      <c r="J86" s="33">
        <v>26115</v>
      </c>
      <c r="K86" s="20">
        <v>22611</v>
      </c>
      <c r="L86" s="20">
        <v>22457</v>
      </c>
      <c r="M86" s="24">
        <f t="shared" si="54"/>
        <v>22457</v>
      </c>
      <c r="N86" s="33">
        <v>18546</v>
      </c>
      <c r="O86" s="33">
        <v>17466</v>
      </c>
      <c r="P86" s="5">
        <v>12621</v>
      </c>
      <c r="Q86" s="5">
        <v>11256</v>
      </c>
      <c r="R86" s="24">
        <f t="shared" si="55"/>
        <v>11256</v>
      </c>
      <c r="S86" s="227">
        <v>10184</v>
      </c>
      <c r="T86" s="137"/>
      <c r="U86" s="137"/>
      <c r="V86" s="137"/>
      <c r="W86" s="137"/>
      <c r="X86" s="137"/>
      <c r="Y86" s="137"/>
      <c r="Z86" s="137"/>
      <c r="AA86" s="137"/>
      <c r="AB86" s="137"/>
      <c r="AC86" s="137"/>
      <c r="AD86" s="137"/>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row>
    <row r="87" spans="1:87" s="2" customFormat="1" x14ac:dyDescent="0.2">
      <c r="A87" s="221" t="s">
        <v>90</v>
      </c>
      <c r="B87" s="57"/>
      <c r="C87" s="57"/>
      <c r="D87" s="33"/>
      <c r="E87" s="20"/>
      <c r="F87" s="33"/>
      <c r="G87" s="33">
        <v>9644</v>
      </c>
      <c r="H87" s="24">
        <f t="shared" si="53"/>
        <v>9644</v>
      </c>
      <c r="I87" s="33">
        <v>12293</v>
      </c>
      <c r="J87" s="33">
        <v>12108</v>
      </c>
      <c r="K87" s="20">
        <v>15019</v>
      </c>
      <c r="L87" s="20">
        <v>20099</v>
      </c>
      <c r="M87" s="24">
        <f t="shared" si="54"/>
        <v>20099</v>
      </c>
      <c r="N87" s="33">
        <v>26341</v>
      </c>
      <c r="O87" s="33">
        <v>31691</v>
      </c>
      <c r="P87" s="5">
        <v>43394</v>
      </c>
      <c r="Q87" s="5">
        <v>29753</v>
      </c>
      <c r="R87" s="24">
        <f t="shared" si="55"/>
        <v>29753</v>
      </c>
      <c r="S87" s="227">
        <v>29616</v>
      </c>
      <c r="T87" s="137"/>
      <c r="U87" s="137"/>
      <c r="V87" s="137"/>
      <c r="W87" s="137"/>
      <c r="X87" s="137"/>
      <c r="Y87" s="137"/>
      <c r="Z87" s="137"/>
      <c r="AA87" s="137"/>
      <c r="AB87" s="137"/>
      <c r="AC87" s="137"/>
      <c r="AD87" s="137"/>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row>
    <row r="88" spans="1:87" s="2" customFormat="1" x14ac:dyDescent="0.2">
      <c r="A88" s="221" t="s">
        <v>91</v>
      </c>
      <c r="B88" s="57"/>
      <c r="C88" s="57"/>
      <c r="D88" s="33"/>
      <c r="E88" s="20"/>
      <c r="F88" s="33"/>
      <c r="G88" s="33"/>
      <c r="H88" s="24"/>
      <c r="I88" s="33"/>
      <c r="J88" s="33"/>
      <c r="K88" s="20"/>
      <c r="L88" s="20"/>
      <c r="M88" s="24"/>
      <c r="N88" s="33"/>
      <c r="O88" s="33">
        <v>58520</v>
      </c>
      <c r="P88" s="5">
        <v>58520</v>
      </c>
      <c r="Q88" s="5">
        <v>83520</v>
      </c>
      <c r="R88" s="24">
        <f t="shared" si="55"/>
        <v>83520</v>
      </c>
      <c r="S88" s="227">
        <v>154452</v>
      </c>
      <c r="T88" s="137"/>
      <c r="U88" s="137"/>
      <c r="V88" s="137"/>
      <c r="W88" s="137"/>
      <c r="X88" s="137"/>
      <c r="Y88" s="137"/>
      <c r="Z88" s="137"/>
      <c r="AA88" s="137"/>
      <c r="AB88" s="137"/>
      <c r="AC88" s="137"/>
      <c r="AD88" s="137"/>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row>
    <row r="89" spans="1:87" s="3" customFormat="1" x14ac:dyDescent="0.2">
      <c r="A89" s="225" t="s">
        <v>92</v>
      </c>
      <c r="B89" s="59">
        <v>15366</v>
      </c>
      <c r="C89" s="59">
        <v>22999</v>
      </c>
      <c r="D89" s="31">
        <v>35756</v>
      </c>
      <c r="E89" s="21">
        <v>35594</v>
      </c>
      <c r="F89" s="31">
        <v>37142</v>
      </c>
      <c r="G89" s="31">
        <v>40181</v>
      </c>
      <c r="H89" s="23">
        <f t="shared" si="53"/>
        <v>40181</v>
      </c>
      <c r="I89" s="31">
        <v>59457</v>
      </c>
      <c r="J89" s="31">
        <v>63806</v>
      </c>
      <c r="K89" s="21">
        <v>67288</v>
      </c>
      <c r="L89" s="21">
        <v>79917</v>
      </c>
      <c r="M89" s="23">
        <f t="shared" si="54"/>
        <v>79917</v>
      </c>
      <c r="N89" s="31">
        <v>102920</v>
      </c>
      <c r="O89" s="31">
        <v>84244</v>
      </c>
      <c r="P89" s="3">
        <v>91627</v>
      </c>
      <c r="Q89" s="3">
        <v>98247</v>
      </c>
      <c r="R89" s="23">
        <f t="shared" si="55"/>
        <v>98247</v>
      </c>
      <c r="S89" s="226">
        <v>98003</v>
      </c>
      <c r="T89" s="137"/>
      <c r="U89" s="137"/>
      <c r="V89" s="137"/>
      <c r="W89" s="137"/>
      <c r="X89" s="137"/>
      <c r="Y89" s="137"/>
      <c r="Z89" s="137"/>
      <c r="AA89" s="137"/>
      <c r="AB89" s="137"/>
      <c r="AC89" s="137"/>
      <c r="AD89" s="137"/>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row>
    <row r="90" spans="1:87" x14ac:dyDescent="0.2">
      <c r="A90" s="240" t="s">
        <v>93</v>
      </c>
      <c r="B90" s="69">
        <v>338112</v>
      </c>
      <c r="C90" s="57">
        <v>719540</v>
      </c>
      <c r="D90" s="276">
        <f t="shared" ref="D90:L90" si="57">SUM(D80:D89)</f>
        <v>739195</v>
      </c>
      <c r="E90" s="276">
        <f t="shared" si="57"/>
        <v>746370</v>
      </c>
      <c r="F90" s="276">
        <f t="shared" si="57"/>
        <v>792304</v>
      </c>
      <c r="G90" s="276">
        <f t="shared" si="57"/>
        <v>845639</v>
      </c>
      <c r="H90" s="24">
        <f t="shared" si="53"/>
        <v>845639</v>
      </c>
      <c r="I90" s="276">
        <f t="shared" si="57"/>
        <v>877451</v>
      </c>
      <c r="J90" s="276">
        <f t="shared" si="57"/>
        <v>1232912</v>
      </c>
      <c r="K90" s="276">
        <f t="shared" si="57"/>
        <v>1279149</v>
      </c>
      <c r="L90" s="276">
        <f t="shared" si="57"/>
        <v>1381023</v>
      </c>
      <c r="M90" s="24">
        <f t="shared" si="54"/>
        <v>1381023</v>
      </c>
      <c r="N90" s="276">
        <f t="shared" ref="N90:S90" si="58">SUM(N80:N89)</f>
        <v>1404858</v>
      </c>
      <c r="O90" s="276">
        <f t="shared" si="58"/>
        <v>1526888</v>
      </c>
      <c r="P90" s="276">
        <f t="shared" si="58"/>
        <v>1645387</v>
      </c>
      <c r="Q90" s="276">
        <f t="shared" si="58"/>
        <v>1688210</v>
      </c>
      <c r="R90" s="24">
        <f t="shared" si="55"/>
        <v>1688210</v>
      </c>
      <c r="S90" s="278">
        <f t="shared" si="58"/>
        <v>1772454</v>
      </c>
    </row>
    <row r="91" spans="1:87" x14ac:dyDescent="0.2">
      <c r="A91" s="240"/>
      <c r="D91" s="241"/>
      <c r="E91" s="242"/>
      <c r="F91" s="242"/>
      <c r="G91" s="242"/>
      <c r="H91" s="253"/>
      <c r="I91" s="242"/>
      <c r="J91" s="242"/>
      <c r="K91" s="242"/>
      <c r="L91" s="242"/>
      <c r="M91" s="244"/>
      <c r="N91" s="242"/>
      <c r="O91" s="242"/>
      <c r="P91" s="245"/>
      <c r="Q91" s="245"/>
      <c r="R91" s="244"/>
      <c r="S91" s="246"/>
    </row>
    <row r="92" spans="1:87" x14ac:dyDescent="0.2">
      <c r="A92" s="240"/>
      <c r="D92" s="245"/>
      <c r="E92" s="242"/>
      <c r="F92" s="242"/>
      <c r="G92" s="242"/>
      <c r="H92" s="253"/>
      <c r="I92" s="242"/>
      <c r="J92" s="242"/>
      <c r="K92" s="242"/>
      <c r="L92" s="242"/>
      <c r="M92" s="244"/>
      <c r="N92" s="242"/>
      <c r="O92" s="242"/>
      <c r="P92" s="245"/>
      <c r="Q92" s="245"/>
      <c r="R92" s="244"/>
      <c r="S92" s="246"/>
    </row>
    <row r="93" spans="1:87" s="2" customFormat="1" x14ac:dyDescent="0.2">
      <c r="A93" s="221" t="s">
        <v>94</v>
      </c>
      <c r="B93" s="57"/>
      <c r="C93" s="57"/>
      <c r="D93" s="5"/>
      <c r="E93" s="5"/>
      <c r="F93" s="5"/>
      <c r="G93" s="5"/>
      <c r="H93" s="24"/>
      <c r="I93" s="98"/>
      <c r="J93" s="98"/>
      <c r="K93" s="98"/>
      <c r="L93" s="98"/>
      <c r="M93" s="34"/>
      <c r="N93" s="98"/>
      <c r="O93" s="98"/>
      <c r="P93" s="5"/>
      <c r="Q93" s="5"/>
      <c r="R93" s="34"/>
      <c r="S93" s="227"/>
      <c r="T93" s="137"/>
      <c r="U93" s="137"/>
      <c r="V93" s="137"/>
      <c r="W93" s="137"/>
      <c r="X93" s="137"/>
      <c r="Y93" s="137"/>
      <c r="Z93" s="137"/>
      <c r="AA93" s="137"/>
      <c r="AB93" s="137"/>
      <c r="AC93" s="137"/>
      <c r="AD93" s="137"/>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row>
    <row r="94" spans="1:87" s="2" customFormat="1" x14ac:dyDescent="0.2">
      <c r="A94" s="221" t="s">
        <v>95</v>
      </c>
      <c r="B94" s="57"/>
      <c r="C94" s="57"/>
      <c r="D94" s="97"/>
      <c r="E94" s="98"/>
      <c r="F94" s="98"/>
      <c r="G94" s="98"/>
      <c r="H94" s="24"/>
      <c r="I94" s="98"/>
      <c r="J94" s="98"/>
      <c r="K94" s="98"/>
      <c r="L94" s="98"/>
      <c r="M94" s="34"/>
      <c r="N94" s="98"/>
      <c r="O94" s="98"/>
      <c r="P94" s="5"/>
      <c r="Q94" s="5"/>
      <c r="R94" s="34"/>
      <c r="S94" s="227"/>
      <c r="T94" s="137"/>
      <c r="U94" s="137"/>
      <c r="V94" s="137"/>
      <c r="W94" s="137"/>
      <c r="X94" s="137"/>
      <c r="Y94" s="137"/>
      <c r="Z94" s="137"/>
      <c r="AA94" s="137"/>
      <c r="AB94" s="137"/>
      <c r="AC94" s="137"/>
      <c r="AD94" s="137"/>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row>
    <row r="95" spans="1:87" s="2" customFormat="1" x14ac:dyDescent="0.2">
      <c r="A95" s="221" t="s">
        <v>96</v>
      </c>
      <c r="B95" s="57">
        <v>8592</v>
      </c>
      <c r="C95" s="57">
        <v>15164</v>
      </c>
      <c r="D95" s="33">
        <v>9865</v>
      </c>
      <c r="E95" s="33">
        <v>9064</v>
      </c>
      <c r="F95" s="33">
        <v>14638</v>
      </c>
      <c r="G95" s="33">
        <v>25874</v>
      </c>
      <c r="H95" s="24">
        <f t="shared" si="53"/>
        <v>25874</v>
      </c>
      <c r="I95" s="33">
        <v>31568</v>
      </c>
      <c r="J95" s="33">
        <v>40105</v>
      </c>
      <c r="K95" s="20">
        <v>22441</v>
      </c>
      <c r="L95" s="20">
        <v>24142</v>
      </c>
      <c r="M95" s="24">
        <f t="shared" ref="M95:M109" si="59">L95</f>
        <v>24142</v>
      </c>
      <c r="N95" s="33">
        <v>19791</v>
      </c>
      <c r="O95" s="33">
        <v>7778</v>
      </c>
      <c r="P95" s="5">
        <v>27418</v>
      </c>
      <c r="Q95" s="5">
        <v>32220</v>
      </c>
      <c r="R95" s="24">
        <f t="shared" ref="R95:R109" si="60">Q95</f>
        <v>32220</v>
      </c>
      <c r="S95" s="227">
        <v>49348</v>
      </c>
      <c r="T95" s="137"/>
      <c r="U95" s="137"/>
      <c r="V95" s="137"/>
      <c r="W95" s="137"/>
      <c r="X95" s="137"/>
      <c r="Y95" s="137"/>
      <c r="Z95" s="137"/>
      <c r="AA95" s="137"/>
      <c r="AB95" s="137"/>
      <c r="AC95" s="137"/>
      <c r="AD95" s="137"/>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row>
    <row r="96" spans="1:87" s="2" customFormat="1" x14ac:dyDescent="0.2">
      <c r="A96" s="221" t="s">
        <v>97</v>
      </c>
      <c r="B96" s="57">
        <v>23502</v>
      </c>
      <c r="C96" s="57">
        <v>41092</v>
      </c>
      <c r="D96" s="33">
        <v>36348</v>
      </c>
      <c r="E96" s="33">
        <v>34011</v>
      </c>
      <c r="F96" s="33">
        <v>35745</v>
      </c>
      <c r="G96" s="33">
        <v>45001</v>
      </c>
      <c r="H96" s="24">
        <f t="shared" si="53"/>
        <v>45001</v>
      </c>
      <c r="I96" s="33">
        <v>36404</v>
      </c>
      <c r="J96" s="33">
        <v>64467</v>
      </c>
      <c r="K96" s="20">
        <v>74114</v>
      </c>
      <c r="L96" s="20">
        <v>59843</v>
      </c>
      <c r="M96" s="24">
        <f t="shared" si="59"/>
        <v>59843</v>
      </c>
      <c r="N96" s="33">
        <v>41097</v>
      </c>
      <c r="O96" s="33">
        <v>66908</v>
      </c>
      <c r="P96" s="5">
        <v>88894</v>
      </c>
      <c r="Q96" s="5">
        <v>103707</v>
      </c>
      <c r="R96" s="24">
        <f t="shared" si="60"/>
        <v>103707</v>
      </c>
      <c r="S96" s="227">
        <v>69435</v>
      </c>
      <c r="T96" s="137"/>
      <c r="U96" s="137"/>
      <c r="V96" s="137"/>
      <c r="W96" s="137"/>
      <c r="X96" s="137"/>
      <c r="Y96" s="137"/>
      <c r="Z96" s="137"/>
      <c r="AA96" s="137"/>
      <c r="AB96" s="137"/>
      <c r="AC96" s="137"/>
      <c r="AD96" s="137"/>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row>
    <row r="97" spans="1:87" s="2" customFormat="1" x14ac:dyDescent="0.2">
      <c r="A97" s="221" t="s">
        <v>98</v>
      </c>
      <c r="B97" s="57">
        <v>70401</v>
      </c>
      <c r="C97" s="57">
        <v>107016</v>
      </c>
      <c r="D97" s="33">
        <v>110063</v>
      </c>
      <c r="E97" s="33">
        <v>113351</v>
      </c>
      <c r="F97" s="33">
        <v>127160</v>
      </c>
      <c r="G97" s="33">
        <v>117864</v>
      </c>
      <c r="H97" s="24">
        <f t="shared" si="53"/>
        <v>117864</v>
      </c>
      <c r="I97" s="33">
        <v>119827</v>
      </c>
      <c r="J97" s="33">
        <v>129518</v>
      </c>
      <c r="K97" s="20">
        <v>154731</v>
      </c>
      <c r="L97" s="20">
        <v>163959</v>
      </c>
      <c r="M97" s="24">
        <f t="shared" si="59"/>
        <v>163959</v>
      </c>
      <c r="N97" s="33">
        <v>165086</v>
      </c>
      <c r="O97" s="33">
        <v>186909</v>
      </c>
      <c r="P97" s="5">
        <v>250651</v>
      </c>
      <c r="Q97" s="5">
        <v>265591</v>
      </c>
      <c r="R97" s="24">
        <f t="shared" si="60"/>
        <v>265591</v>
      </c>
      <c r="S97" s="227">
        <v>326627</v>
      </c>
      <c r="T97" s="137"/>
      <c r="U97" s="137"/>
      <c r="V97" s="137"/>
      <c r="W97" s="137"/>
      <c r="X97" s="137"/>
      <c r="Y97" s="137"/>
      <c r="Z97" s="137"/>
      <c r="AA97" s="137"/>
      <c r="AB97" s="137"/>
      <c r="AC97" s="137"/>
      <c r="AD97" s="137"/>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row>
    <row r="98" spans="1:87" s="2" customFormat="1" x14ac:dyDescent="0.2">
      <c r="A98" s="221" t="s">
        <v>99</v>
      </c>
      <c r="B98" s="57">
        <v>3673</v>
      </c>
      <c r="C98" s="57">
        <v>2702</v>
      </c>
      <c r="D98" s="33">
        <v>3604</v>
      </c>
      <c r="E98" s="33">
        <v>3395</v>
      </c>
      <c r="F98" s="33">
        <v>2294</v>
      </c>
      <c r="G98" s="33">
        <v>2974</v>
      </c>
      <c r="H98" s="24">
        <f t="shared" si="53"/>
        <v>2974</v>
      </c>
      <c r="I98" s="33">
        <v>3325</v>
      </c>
      <c r="J98" s="33">
        <v>3858</v>
      </c>
      <c r="K98" s="20">
        <v>2132</v>
      </c>
      <c r="L98" s="20">
        <v>2956</v>
      </c>
      <c r="M98" s="24">
        <f t="shared" si="59"/>
        <v>2956</v>
      </c>
      <c r="N98" s="33">
        <v>8134</v>
      </c>
      <c r="O98" s="33">
        <v>4872</v>
      </c>
      <c r="P98" s="5">
        <v>6118</v>
      </c>
      <c r="Q98" s="5">
        <v>10463</v>
      </c>
      <c r="R98" s="24">
        <f t="shared" si="60"/>
        <v>10463</v>
      </c>
      <c r="S98" s="227">
        <v>18411</v>
      </c>
      <c r="T98" s="137"/>
      <c r="U98" s="137"/>
      <c r="V98" s="137"/>
      <c r="W98" s="137"/>
      <c r="X98" s="137"/>
      <c r="Y98" s="137"/>
      <c r="Z98" s="137"/>
      <c r="AA98" s="137"/>
      <c r="AB98" s="137"/>
      <c r="AC98" s="137"/>
      <c r="AD98" s="137"/>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row>
    <row r="99" spans="1:87" s="2" customFormat="1" x14ac:dyDescent="0.2">
      <c r="A99" s="221" t="s">
        <v>100</v>
      </c>
      <c r="B99" s="57">
        <v>1693</v>
      </c>
      <c r="C99" s="57">
        <v>0</v>
      </c>
      <c r="D99" s="33">
        <v>0</v>
      </c>
      <c r="E99" s="33">
        <v>0</v>
      </c>
      <c r="F99" s="33"/>
      <c r="G99" s="33"/>
      <c r="H99" s="24">
        <f t="shared" si="53"/>
        <v>0</v>
      </c>
      <c r="I99" s="33"/>
      <c r="J99" s="33"/>
      <c r="K99" s="20"/>
      <c r="L99" s="20"/>
      <c r="M99" s="24">
        <f t="shared" si="59"/>
        <v>0</v>
      </c>
      <c r="N99" s="33"/>
      <c r="O99" s="33"/>
      <c r="P99" s="5"/>
      <c r="Q99" s="5"/>
      <c r="R99" s="24">
        <f t="shared" si="60"/>
        <v>0</v>
      </c>
      <c r="S99" s="227"/>
      <c r="T99" s="137"/>
      <c r="U99" s="137"/>
      <c r="V99" s="137"/>
      <c r="W99" s="137"/>
      <c r="X99" s="137"/>
      <c r="Y99" s="137"/>
      <c r="Z99" s="137"/>
      <c r="AA99" s="137"/>
      <c r="AB99" s="137"/>
      <c r="AC99" s="137"/>
      <c r="AD99" s="137"/>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row>
    <row r="100" spans="1:87" s="3" customFormat="1" x14ac:dyDescent="0.2">
      <c r="A100" s="225" t="s">
        <v>101</v>
      </c>
      <c r="B100" s="59">
        <v>89</v>
      </c>
      <c r="C100" s="59">
        <v>37</v>
      </c>
      <c r="D100" s="31">
        <v>3914</v>
      </c>
      <c r="E100" s="31">
        <v>3852</v>
      </c>
      <c r="F100" s="31">
        <v>3997</v>
      </c>
      <c r="G100" s="31">
        <v>3853</v>
      </c>
      <c r="H100" s="23">
        <f t="shared" si="53"/>
        <v>3853</v>
      </c>
      <c r="I100" s="31">
        <v>3891</v>
      </c>
      <c r="J100" s="31">
        <v>4882</v>
      </c>
      <c r="K100" s="21">
        <v>5137</v>
      </c>
      <c r="L100" s="21">
        <v>5431</v>
      </c>
      <c r="M100" s="23">
        <f t="shared" si="59"/>
        <v>5431</v>
      </c>
      <c r="N100" s="31">
        <v>5667</v>
      </c>
      <c r="O100" s="31">
        <v>6404</v>
      </c>
      <c r="P100" s="3">
        <v>6809</v>
      </c>
      <c r="Q100" s="3">
        <v>6540</v>
      </c>
      <c r="R100" s="23">
        <f t="shared" si="60"/>
        <v>6540</v>
      </c>
      <c r="S100" s="227">
        <v>6858</v>
      </c>
      <c r="T100" s="137"/>
      <c r="U100" s="137"/>
      <c r="V100" s="137"/>
      <c r="W100" s="137"/>
      <c r="X100" s="137"/>
      <c r="Y100" s="137"/>
      <c r="Z100" s="137"/>
      <c r="AA100" s="137"/>
      <c r="AB100" s="137"/>
      <c r="AC100" s="137"/>
      <c r="AD100" s="137"/>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row>
    <row r="101" spans="1:87" s="2" customFormat="1" x14ac:dyDescent="0.2">
      <c r="A101" s="221" t="s">
        <v>102</v>
      </c>
      <c r="B101" s="57">
        <v>107950</v>
      </c>
      <c r="C101" s="57">
        <v>166011</v>
      </c>
      <c r="D101" s="5">
        <f>SUM(D95:D100)</f>
        <v>163794</v>
      </c>
      <c r="E101" s="5">
        <f>SUM(E95:E100)</f>
        <v>163673</v>
      </c>
      <c r="F101" s="33">
        <f>SUM(F95:F100)</f>
        <v>183834</v>
      </c>
      <c r="G101" s="33">
        <f>SUM(G95:G100)</f>
        <v>195566</v>
      </c>
      <c r="H101" s="24">
        <f t="shared" si="53"/>
        <v>195566</v>
      </c>
      <c r="I101" s="33">
        <f>SUM(I95:I100)</f>
        <v>195015</v>
      </c>
      <c r="J101" s="33">
        <f>SUM(J95:J100)</f>
        <v>242830</v>
      </c>
      <c r="K101" s="33">
        <f>SUM(K95:K100)</f>
        <v>258555</v>
      </c>
      <c r="L101" s="33">
        <f>SUM(L95:L100)</f>
        <v>256331</v>
      </c>
      <c r="M101" s="24">
        <f t="shared" si="59"/>
        <v>256331</v>
      </c>
      <c r="N101" s="33">
        <f>SUM(N95:N100)</f>
        <v>239775</v>
      </c>
      <c r="O101" s="33">
        <f>SUM(O95:O100)</f>
        <v>272871</v>
      </c>
      <c r="P101" s="33">
        <f t="shared" ref="P101:S101" si="61">SUM(P95:P100)</f>
        <v>379890</v>
      </c>
      <c r="Q101" s="33">
        <f t="shared" si="61"/>
        <v>418521</v>
      </c>
      <c r="R101" s="24">
        <f t="shared" si="60"/>
        <v>418521</v>
      </c>
      <c r="S101" s="279">
        <f t="shared" si="61"/>
        <v>470679</v>
      </c>
      <c r="T101" s="137"/>
      <c r="U101" s="137"/>
      <c r="V101" s="137"/>
      <c r="W101" s="137"/>
      <c r="X101" s="137"/>
      <c r="Y101" s="137"/>
      <c r="Z101" s="137"/>
      <c r="AA101" s="137"/>
      <c r="AB101" s="137"/>
      <c r="AC101" s="137"/>
      <c r="AD101" s="137"/>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row>
    <row r="102" spans="1:87" s="2" customFormat="1" x14ac:dyDescent="0.2">
      <c r="A102" s="221" t="s">
        <v>103</v>
      </c>
      <c r="B102" s="57">
        <v>54881</v>
      </c>
      <c r="C102" s="57">
        <v>74417</v>
      </c>
      <c r="D102" s="33">
        <v>74784</v>
      </c>
      <c r="E102" s="33">
        <v>74586</v>
      </c>
      <c r="F102" s="33">
        <v>82149</v>
      </c>
      <c r="G102" s="33">
        <v>87936</v>
      </c>
      <c r="H102" s="24">
        <f t="shared" si="53"/>
        <v>87936</v>
      </c>
      <c r="I102" s="33">
        <v>91886</v>
      </c>
      <c r="J102" s="33">
        <v>83150</v>
      </c>
      <c r="K102" s="20">
        <v>87733</v>
      </c>
      <c r="L102" s="20">
        <v>111222</v>
      </c>
      <c r="M102" s="24">
        <f t="shared" si="59"/>
        <v>111222</v>
      </c>
      <c r="N102" s="33">
        <v>116107</v>
      </c>
      <c r="O102" s="33">
        <v>113815</v>
      </c>
      <c r="P102" s="5">
        <v>111892</v>
      </c>
      <c r="Q102" s="5">
        <v>185721</v>
      </c>
      <c r="R102" s="24">
        <f t="shared" si="60"/>
        <v>185721</v>
      </c>
      <c r="S102" s="227">
        <v>140938</v>
      </c>
      <c r="T102" s="137"/>
      <c r="U102" s="137"/>
      <c r="V102" s="137"/>
      <c r="W102" s="137"/>
      <c r="X102" s="137"/>
      <c r="Y102" s="137"/>
      <c r="Z102" s="137"/>
      <c r="AA102" s="137"/>
      <c r="AB102" s="137"/>
      <c r="AC102" s="137"/>
      <c r="AD102" s="137"/>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row>
    <row r="103" spans="1:87" s="2" customFormat="1" x14ac:dyDescent="0.2">
      <c r="A103" s="221" t="s">
        <v>104</v>
      </c>
      <c r="B103" s="57">
        <v>1706</v>
      </c>
      <c r="C103" s="57">
        <v>2849</v>
      </c>
      <c r="D103" s="33">
        <v>3156</v>
      </c>
      <c r="E103" s="33">
        <v>3462</v>
      </c>
      <c r="F103" s="33">
        <v>3443</v>
      </c>
      <c r="G103" s="33">
        <v>3832</v>
      </c>
      <c r="H103" s="24">
        <f t="shared" si="53"/>
        <v>3832</v>
      </c>
      <c r="I103" s="33">
        <v>4173</v>
      </c>
      <c r="J103" s="33">
        <v>4445</v>
      </c>
      <c r="K103" s="20">
        <v>4406</v>
      </c>
      <c r="L103" s="20">
        <v>4503</v>
      </c>
      <c r="M103" s="24">
        <f t="shared" si="59"/>
        <v>4503</v>
      </c>
      <c r="N103" s="33">
        <v>4697</v>
      </c>
      <c r="O103" s="33">
        <v>4550</v>
      </c>
      <c r="P103" s="5">
        <v>4580</v>
      </c>
      <c r="Q103" s="5">
        <v>3797</v>
      </c>
      <c r="R103" s="24">
        <f t="shared" si="60"/>
        <v>3797</v>
      </c>
      <c r="S103" s="227">
        <v>5162</v>
      </c>
      <c r="T103" s="137"/>
      <c r="U103" s="137"/>
      <c r="V103" s="137"/>
      <c r="W103" s="137"/>
      <c r="X103" s="137"/>
      <c r="Y103" s="137"/>
      <c r="Z103" s="137"/>
      <c r="AA103" s="137"/>
      <c r="AB103" s="137"/>
      <c r="AC103" s="137"/>
      <c r="AD103" s="137"/>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row>
    <row r="104" spans="1:87" s="2" customFormat="1" x14ac:dyDescent="0.2">
      <c r="A104" s="221" t="s">
        <v>105</v>
      </c>
      <c r="B104" s="57">
        <v>3859</v>
      </c>
      <c r="C104" s="57">
        <v>3235</v>
      </c>
      <c r="D104" s="33">
        <v>3675</v>
      </c>
      <c r="E104" s="33">
        <v>3755</v>
      </c>
      <c r="F104" s="33">
        <v>3694</v>
      </c>
      <c r="G104" s="33">
        <v>3936</v>
      </c>
      <c r="H104" s="24">
        <f t="shared" si="53"/>
        <v>3936</v>
      </c>
      <c r="I104" s="33">
        <v>3430</v>
      </c>
      <c r="J104" s="33">
        <v>3990</v>
      </c>
      <c r="K104" s="20">
        <v>4150</v>
      </c>
      <c r="L104" s="20">
        <v>4732</v>
      </c>
      <c r="M104" s="24">
        <f t="shared" si="59"/>
        <v>4732</v>
      </c>
      <c r="N104" s="33">
        <v>4825</v>
      </c>
      <c r="O104" s="33">
        <v>5216</v>
      </c>
      <c r="P104" s="5">
        <v>5125</v>
      </c>
      <c r="Q104" s="5">
        <v>5679</v>
      </c>
      <c r="R104" s="24">
        <f t="shared" si="60"/>
        <v>5679</v>
      </c>
      <c r="S104" s="227">
        <v>5833</v>
      </c>
      <c r="T104" s="137"/>
      <c r="U104" s="137"/>
      <c r="V104" s="137"/>
      <c r="W104" s="137"/>
      <c r="X104" s="137"/>
      <c r="Y104" s="137"/>
      <c r="Z104" s="137"/>
      <c r="AA104" s="137"/>
      <c r="AB104" s="137"/>
      <c r="AC104" s="137"/>
      <c r="AD104" s="137"/>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row>
    <row r="105" spans="1:87" s="2" customFormat="1" x14ac:dyDescent="0.2">
      <c r="A105" s="221" t="s">
        <v>106</v>
      </c>
      <c r="B105" s="57">
        <v>1048</v>
      </c>
      <c r="C105" s="57">
        <v>0</v>
      </c>
      <c r="D105" s="33">
        <v>0</v>
      </c>
      <c r="E105" s="33">
        <v>0</v>
      </c>
      <c r="F105" s="33"/>
      <c r="G105" s="33"/>
      <c r="H105" s="24">
        <f t="shared" si="53"/>
        <v>0</v>
      </c>
      <c r="I105" s="33"/>
      <c r="J105" s="33"/>
      <c r="K105" s="20"/>
      <c r="L105" s="20"/>
      <c r="M105" s="24">
        <f t="shared" si="59"/>
        <v>0</v>
      </c>
      <c r="N105" s="33"/>
      <c r="O105" s="33"/>
      <c r="P105" s="5"/>
      <c r="Q105" s="5"/>
      <c r="R105" s="24">
        <f t="shared" si="60"/>
        <v>0</v>
      </c>
      <c r="S105" s="227"/>
      <c r="T105" s="137"/>
      <c r="U105" s="137"/>
      <c r="V105" s="137"/>
      <c r="W105" s="137"/>
      <c r="X105" s="137"/>
      <c r="Y105" s="137"/>
      <c r="Z105" s="137"/>
      <c r="AA105" s="137"/>
      <c r="AB105" s="137"/>
      <c r="AC105" s="137"/>
      <c r="AD105" s="137"/>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row>
    <row r="106" spans="1:87" s="2" customFormat="1" x14ac:dyDescent="0.2">
      <c r="A106" s="221" t="s">
        <v>107</v>
      </c>
      <c r="B106" s="57"/>
      <c r="C106" s="57"/>
      <c r="D106" s="33"/>
      <c r="E106" s="33"/>
      <c r="F106" s="33"/>
      <c r="G106" s="33">
        <v>354</v>
      </c>
      <c r="H106" s="24">
        <f>G106</f>
        <v>354</v>
      </c>
      <c r="I106" s="33">
        <v>342</v>
      </c>
      <c r="J106" s="33">
        <v>447</v>
      </c>
      <c r="K106" s="20">
        <v>560</v>
      </c>
      <c r="L106" s="20">
        <v>649</v>
      </c>
      <c r="M106" s="24">
        <f t="shared" si="59"/>
        <v>649</v>
      </c>
      <c r="N106" s="33">
        <v>684</v>
      </c>
      <c r="O106" s="33">
        <v>377</v>
      </c>
      <c r="P106" s="5">
        <v>155</v>
      </c>
      <c r="Q106" s="5">
        <v>811</v>
      </c>
      <c r="R106" s="24">
        <f t="shared" si="60"/>
        <v>811</v>
      </c>
      <c r="S106" s="227">
        <v>348</v>
      </c>
      <c r="T106" s="137"/>
      <c r="U106" s="137"/>
      <c r="V106" s="137"/>
      <c r="W106" s="137"/>
      <c r="X106" s="137"/>
      <c r="Y106" s="137"/>
      <c r="Z106" s="137"/>
      <c r="AA106" s="137"/>
      <c r="AB106" s="137"/>
      <c r="AC106" s="137"/>
      <c r="AD106" s="137"/>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row>
    <row r="107" spans="1:87" s="2" customFormat="1" x14ac:dyDescent="0.2">
      <c r="A107" s="221" t="s">
        <v>108</v>
      </c>
      <c r="B107" s="57"/>
      <c r="C107" s="57"/>
      <c r="D107" s="33">
        <v>8897</v>
      </c>
      <c r="E107" s="33">
        <v>8013</v>
      </c>
      <c r="F107" s="33">
        <v>7687</v>
      </c>
      <c r="G107" s="33">
        <v>6792</v>
      </c>
      <c r="H107" s="24">
        <f>G107</f>
        <v>6792</v>
      </c>
      <c r="I107" s="33">
        <v>19398</v>
      </c>
      <c r="J107" s="33">
        <v>20492</v>
      </c>
      <c r="K107" s="20">
        <v>19228</v>
      </c>
      <c r="L107" s="20">
        <v>18952</v>
      </c>
      <c r="M107" s="24">
        <f t="shared" si="59"/>
        <v>18952</v>
      </c>
      <c r="N107" s="33">
        <v>19614</v>
      </c>
      <c r="O107" s="33">
        <v>24217</v>
      </c>
      <c r="P107" s="5">
        <v>21790</v>
      </c>
      <c r="Q107" s="5">
        <v>20440</v>
      </c>
      <c r="R107" s="24">
        <f t="shared" si="60"/>
        <v>20440</v>
      </c>
      <c r="S107" s="227">
        <v>20112</v>
      </c>
      <c r="T107" s="137"/>
      <c r="U107" s="137"/>
      <c r="V107" s="137"/>
      <c r="W107" s="137"/>
      <c r="X107" s="137"/>
      <c r="Y107" s="137"/>
      <c r="Z107" s="137"/>
      <c r="AA107" s="137"/>
      <c r="AB107" s="137"/>
      <c r="AC107" s="137"/>
      <c r="AD107" s="137"/>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row>
    <row r="108" spans="1:87" s="3" customFormat="1" x14ac:dyDescent="0.2">
      <c r="A108" s="225" t="s">
        <v>109</v>
      </c>
      <c r="B108" s="59">
        <v>1224</v>
      </c>
      <c r="C108" s="59">
        <v>5704</v>
      </c>
      <c r="D108" s="31">
        <f>13247-D107</f>
        <v>4350</v>
      </c>
      <c r="E108" s="31">
        <f>11967-E107</f>
        <v>3954</v>
      </c>
      <c r="F108" s="31">
        <f>11537-F107</f>
        <v>3850</v>
      </c>
      <c r="G108" s="31">
        <f>10520-G107</f>
        <v>3728</v>
      </c>
      <c r="H108" s="23">
        <f>G108</f>
        <v>3728</v>
      </c>
      <c r="I108" s="31">
        <f>23015-I107</f>
        <v>3617</v>
      </c>
      <c r="J108" s="31">
        <f>28237-J107</f>
        <v>7745</v>
      </c>
      <c r="K108" s="21">
        <f>28592-K107</f>
        <v>9364</v>
      </c>
      <c r="L108" s="21">
        <f>27331-L107</f>
        <v>8379</v>
      </c>
      <c r="M108" s="23">
        <f t="shared" si="59"/>
        <v>8379</v>
      </c>
      <c r="N108" s="31">
        <f>27866-N107</f>
        <v>8252</v>
      </c>
      <c r="O108" s="31">
        <f>32360-O107</f>
        <v>8143</v>
      </c>
      <c r="P108" s="3">
        <f>29842-P107</f>
        <v>8052</v>
      </c>
      <c r="Q108" s="3">
        <v>5392</v>
      </c>
      <c r="R108" s="23">
        <f t="shared" si="60"/>
        <v>5392</v>
      </c>
      <c r="S108" s="226">
        <v>4593</v>
      </c>
      <c r="T108" s="137"/>
      <c r="U108" s="137"/>
      <c r="V108" s="137"/>
      <c r="W108" s="137"/>
      <c r="X108" s="137"/>
      <c r="Y108" s="137"/>
      <c r="Z108" s="137"/>
      <c r="AA108" s="137"/>
      <c r="AB108" s="137"/>
      <c r="AC108" s="137"/>
      <c r="AD108" s="137"/>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row>
    <row r="109" spans="1:87" s="2" customFormat="1" x14ac:dyDescent="0.2">
      <c r="A109" s="221" t="s">
        <v>110</v>
      </c>
      <c r="B109" s="57">
        <v>170668</v>
      </c>
      <c r="C109" s="57">
        <v>252216</v>
      </c>
      <c r="D109" s="5">
        <f>SUM(D101:D108)</f>
        <v>258656</v>
      </c>
      <c r="E109" s="5">
        <f>SUM(E101:E108)</f>
        <v>257443</v>
      </c>
      <c r="F109" s="5">
        <f>SUM(F101:F108)</f>
        <v>284657</v>
      </c>
      <c r="G109" s="5">
        <f>SUM(G101:G108)</f>
        <v>302144</v>
      </c>
      <c r="H109" s="24">
        <f t="shared" si="53"/>
        <v>302144</v>
      </c>
      <c r="I109" s="5">
        <f>SUM(I101:I108)</f>
        <v>317861</v>
      </c>
      <c r="J109" s="5">
        <f>SUM(J101:J108)</f>
        <v>363099</v>
      </c>
      <c r="K109" s="5">
        <f>SUM(K101:K108)</f>
        <v>383996</v>
      </c>
      <c r="L109" s="5">
        <f>SUM(L101:L108)</f>
        <v>404768</v>
      </c>
      <c r="M109" s="24">
        <f t="shared" si="59"/>
        <v>404768</v>
      </c>
      <c r="N109" s="5">
        <f>SUM(N101:N108)</f>
        <v>393954</v>
      </c>
      <c r="O109" s="5">
        <f>SUM(O101:O108)</f>
        <v>429189</v>
      </c>
      <c r="P109" s="5">
        <f t="shared" ref="P109:S109" si="62">SUM(P101:P108)</f>
        <v>531484</v>
      </c>
      <c r="Q109" s="5">
        <f t="shared" si="62"/>
        <v>640361</v>
      </c>
      <c r="R109" s="24">
        <f t="shared" si="60"/>
        <v>640361</v>
      </c>
      <c r="S109" s="227">
        <f t="shared" si="62"/>
        <v>647665</v>
      </c>
      <c r="T109" s="137"/>
      <c r="U109" s="137"/>
      <c r="V109" s="137"/>
      <c r="W109" s="137"/>
      <c r="X109" s="137"/>
      <c r="Y109" s="137"/>
      <c r="Z109" s="137"/>
      <c r="AA109" s="137"/>
      <c r="AB109" s="137"/>
      <c r="AC109" s="137"/>
      <c r="AD109" s="137"/>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row>
    <row r="110" spans="1:87" s="2" customFormat="1" x14ac:dyDescent="0.2">
      <c r="A110" s="221"/>
      <c r="B110" s="57"/>
      <c r="C110" s="57">
        <v>0</v>
      </c>
      <c r="D110" s="33"/>
      <c r="E110" s="33"/>
      <c r="F110" s="98"/>
      <c r="G110" s="98"/>
      <c r="H110" s="24">
        <f t="shared" si="53"/>
        <v>0</v>
      </c>
      <c r="I110" s="98"/>
      <c r="J110" s="98"/>
      <c r="K110" s="98"/>
      <c r="L110" s="98"/>
      <c r="M110" s="34"/>
      <c r="N110" s="98"/>
      <c r="O110" s="98"/>
      <c r="P110" s="5"/>
      <c r="Q110" s="5"/>
      <c r="R110" s="34"/>
      <c r="S110" s="227"/>
      <c r="T110" s="137"/>
      <c r="U110" s="137"/>
      <c r="V110" s="137"/>
      <c r="W110" s="137"/>
      <c r="X110" s="137"/>
      <c r="Y110" s="137"/>
      <c r="Z110" s="137"/>
      <c r="AA110" s="137"/>
      <c r="AB110" s="137"/>
      <c r="AC110" s="137"/>
      <c r="AD110" s="137"/>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row>
    <row r="111" spans="1:87" s="3" customFormat="1" x14ac:dyDescent="0.2">
      <c r="A111" s="225" t="s">
        <v>111</v>
      </c>
      <c r="B111" s="59">
        <v>167444</v>
      </c>
      <c r="C111" s="59">
        <v>467324</v>
      </c>
      <c r="D111" s="31">
        <v>480539</v>
      </c>
      <c r="E111" s="31">
        <v>488927</v>
      </c>
      <c r="F111" s="31">
        <v>507647</v>
      </c>
      <c r="G111" s="31">
        <v>543495</v>
      </c>
      <c r="H111" s="23">
        <f t="shared" si="53"/>
        <v>543495</v>
      </c>
      <c r="I111" s="31">
        <v>559590</v>
      </c>
      <c r="J111" s="31">
        <v>869813</v>
      </c>
      <c r="K111" s="21">
        <v>895153</v>
      </c>
      <c r="L111" s="21">
        <v>976255</v>
      </c>
      <c r="M111" s="35">
        <f>L111</f>
        <v>976255</v>
      </c>
      <c r="N111" s="31">
        <v>1010904</v>
      </c>
      <c r="O111" s="31">
        <v>1097699</v>
      </c>
      <c r="P111" s="3">
        <v>1113903</v>
      </c>
      <c r="Q111" s="3">
        <v>1047849</v>
      </c>
      <c r="R111" s="35">
        <f>Q111</f>
        <v>1047849</v>
      </c>
      <c r="S111" s="226">
        <v>1124789</v>
      </c>
      <c r="T111" s="137"/>
      <c r="U111" s="137"/>
      <c r="V111" s="137"/>
      <c r="W111" s="137"/>
      <c r="X111" s="137"/>
      <c r="Y111" s="137"/>
      <c r="Z111" s="137"/>
      <c r="AA111" s="137"/>
      <c r="AB111" s="137"/>
      <c r="AC111" s="137"/>
      <c r="AD111" s="137"/>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row>
    <row r="112" spans="1:87" s="2" customFormat="1" x14ac:dyDescent="0.2">
      <c r="A112" s="221" t="s">
        <v>112</v>
      </c>
      <c r="B112" s="57">
        <v>338112</v>
      </c>
      <c r="C112" s="57">
        <v>719540</v>
      </c>
      <c r="D112" s="5">
        <f>D111+D109</f>
        <v>739195</v>
      </c>
      <c r="E112" s="5">
        <f>E111+E109</f>
        <v>746370</v>
      </c>
      <c r="F112" s="5">
        <f>F111+F109</f>
        <v>792304</v>
      </c>
      <c r="G112" s="5">
        <f>G111+G109</f>
        <v>845639</v>
      </c>
      <c r="H112" s="24">
        <f t="shared" si="53"/>
        <v>845639</v>
      </c>
      <c r="I112" s="5">
        <f>I111+I109</f>
        <v>877451</v>
      </c>
      <c r="J112" s="5">
        <f>J111+J109</f>
        <v>1232912</v>
      </c>
      <c r="K112" s="5">
        <f>K111+K109</f>
        <v>1279149</v>
      </c>
      <c r="L112" s="5">
        <f>L111+L109</f>
        <v>1381023</v>
      </c>
      <c r="M112" s="24">
        <f t="shared" ref="M112" si="63">L112</f>
        <v>1381023</v>
      </c>
      <c r="N112" s="5">
        <f>N111+N109</f>
        <v>1404858</v>
      </c>
      <c r="O112" s="5">
        <f>O111+O109</f>
        <v>1526888</v>
      </c>
      <c r="P112" s="5">
        <f t="shared" ref="P112:S112" si="64">P111+P109</f>
        <v>1645387</v>
      </c>
      <c r="Q112" s="5">
        <f t="shared" si="64"/>
        <v>1688210</v>
      </c>
      <c r="R112" s="24">
        <f t="shared" ref="R112" si="65">Q112</f>
        <v>1688210</v>
      </c>
      <c r="S112" s="227">
        <f t="shared" si="64"/>
        <v>1772454</v>
      </c>
      <c r="T112" s="137"/>
      <c r="U112" s="137"/>
      <c r="V112" s="137"/>
      <c r="W112" s="137"/>
      <c r="X112" s="137"/>
      <c r="Y112" s="137"/>
      <c r="Z112" s="137"/>
      <c r="AA112" s="137"/>
      <c r="AB112" s="137"/>
      <c r="AC112" s="137"/>
      <c r="AD112" s="137"/>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row>
    <row r="113" spans="1:87" x14ac:dyDescent="0.2">
      <c r="A113" s="240"/>
      <c r="B113" s="251"/>
      <c r="C113" s="251"/>
      <c r="D113" s="275"/>
      <c r="E113" s="275"/>
      <c r="F113" s="275"/>
      <c r="G113" s="275"/>
      <c r="H113" s="251"/>
      <c r="I113" s="275"/>
      <c r="J113" s="275"/>
      <c r="K113" s="275"/>
      <c r="L113" s="275"/>
      <c r="M113" s="251"/>
      <c r="N113" s="275"/>
      <c r="O113" s="275"/>
      <c r="P113" s="275"/>
      <c r="Q113" s="275"/>
      <c r="R113" s="251"/>
      <c r="S113" s="252"/>
    </row>
    <row r="114" spans="1:87" s="47" customFormat="1" ht="32" customHeight="1" x14ac:dyDescent="0.25">
      <c r="A114" s="280" t="s">
        <v>113</v>
      </c>
      <c r="B114" s="74"/>
      <c r="C114" s="74"/>
      <c r="D114" s="281"/>
      <c r="E114" s="281"/>
      <c r="F114" s="281"/>
      <c r="G114" s="281"/>
      <c r="H114" s="281"/>
      <c r="I114" s="281"/>
      <c r="J114" s="281"/>
      <c r="K114" s="281"/>
      <c r="L114" s="281"/>
      <c r="M114" s="281"/>
      <c r="N114" s="281"/>
      <c r="O114" s="281"/>
      <c r="P114" s="281"/>
      <c r="Q114" s="281"/>
      <c r="R114" s="281"/>
      <c r="S114" s="282"/>
      <c r="T114" s="152"/>
      <c r="U114" s="152"/>
      <c r="V114" s="152"/>
      <c r="W114" s="152"/>
      <c r="X114" s="152"/>
      <c r="Y114" s="152"/>
      <c r="Z114" s="152"/>
      <c r="AA114" s="152"/>
      <c r="AB114" s="152"/>
      <c r="AC114" s="152"/>
      <c r="AD114" s="152"/>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row>
    <row r="115" spans="1:87" s="2" customFormat="1" x14ac:dyDescent="0.2">
      <c r="A115" s="264" t="s">
        <v>114</v>
      </c>
      <c r="B115" s="57"/>
      <c r="C115" s="57"/>
      <c r="D115" s="33"/>
      <c r="E115" s="98"/>
      <c r="F115" s="98"/>
      <c r="G115" s="98"/>
      <c r="H115" s="51"/>
      <c r="I115" s="98"/>
      <c r="J115" s="98"/>
      <c r="K115" s="98"/>
      <c r="L115" s="98"/>
      <c r="M115" s="34"/>
      <c r="N115" s="98"/>
      <c r="O115" s="98"/>
      <c r="P115" s="5"/>
      <c r="Q115" s="5"/>
      <c r="R115" s="34"/>
      <c r="S115" s="227"/>
      <c r="T115" s="137"/>
      <c r="U115" s="137"/>
      <c r="V115" s="137"/>
      <c r="W115" s="137"/>
      <c r="X115" s="137"/>
      <c r="Y115" s="137"/>
      <c r="Z115" s="137"/>
      <c r="AA115" s="137"/>
      <c r="AB115" s="137"/>
      <c r="AC115" s="137"/>
      <c r="AD115" s="137"/>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row>
    <row r="116" spans="1:87" s="2" customFormat="1" x14ac:dyDescent="0.2">
      <c r="A116" s="221" t="s">
        <v>36</v>
      </c>
      <c r="B116" s="57">
        <v>5207</v>
      </c>
      <c r="C116" s="60">
        <v>29205</v>
      </c>
      <c r="D116" s="33">
        <f>D21</f>
        <v>6419</v>
      </c>
      <c r="E116" s="33">
        <f>E21</f>
        <v>738</v>
      </c>
      <c r="F116" s="33">
        <f>F21</f>
        <v>6104</v>
      </c>
      <c r="G116" s="33">
        <f>G21</f>
        <v>-12379</v>
      </c>
      <c r="H116" s="34">
        <f>SUM(D116:G116)</f>
        <v>882</v>
      </c>
      <c r="I116" s="33">
        <f>I21</f>
        <v>4074</v>
      </c>
      <c r="J116" s="33">
        <f>J21</f>
        <v>-30759</v>
      </c>
      <c r="K116" s="33">
        <f>K21</f>
        <v>-873</v>
      </c>
      <c r="L116" s="20">
        <f>L21</f>
        <v>25834</v>
      </c>
      <c r="M116" s="34">
        <f>SUM(I116:L116)</f>
        <v>-1724</v>
      </c>
      <c r="N116" s="33">
        <f>N21</f>
        <v>-47917</v>
      </c>
      <c r="O116" s="33">
        <f>O21</f>
        <v>-47117</v>
      </c>
      <c r="P116" s="5">
        <v>48524</v>
      </c>
      <c r="Q116" s="5">
        <v>-13508</v>
      </c>
      <c r="R116" s="34">
        <f>SUM(N116:Q116)</f>
        <v>-60018</v>
      </c>
      <c r="S116" s="227">
        <f>S21</f>
        <v>54871</v>
      </c>
      <c r="T116" s="137"/>
      <c r="U116" s="137"/>
      <c r="V116" s="137"/>
      <c r="W116" s="137"/>
      <c r="X116" s="137"/>
      <c r="Y116" s="137"/>
      <c r="Z116" s="137"/>
      <c r="AA116" s="137"/>
      <c r="AB116" s="137"/>
      <c r="AC116" s="137"/>
      <c r="AD116" s="137"/>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row>
    <row r="117" spans="1:87" s="2" customFormat="1" x14ac:dyDescent="0.2">
      <c r="A117" s="221" t="s">
        <v>115</v>
      </c>
      <c r="B117" s="57"/>
      <c r="C117" s="60"/>
      <c r="D117" s="33"/>
      <c r="E117" s="33"/>
      <c r="F117" s="33"/>
      <c r="G117" s="33"/>
      <c r="H117" s="34"/>
      <c r="I117" s="33"/>
      <c r="J117" s="33"/>
      <c r="K117" s="20"/>
      <c r="L117" s="20"/>
      <c r="M117" s="34"/>
      <c r="N117" s="33"/>
      <c r="O117" s="33"/>
      <c r="P117" s="5"/>
      <c r="Q117" s="5"/>
      <c r="R117" s="34"/>
      <c r="S117" s="227"/>
      <c r="T117" s="137"/>
      <c r="U117" s="137"/>
      <c r="V117" s="137"/>
      <c r="W117" s="137"/>
      <c r="X117" s="137"/>
      <c r="Y117" s="137"/>
      <c r="Z117" s="137"/>
      <c r="AA117" s="137"/>
      <c r="AB117" s="137"/>
      <c r="AC117" s="137"/>
      <c r="AD117" s="137"/>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row>
    <row r="118" spans="1:87" s="2" customFormat="1" x14ac:dyDescent="0.2">
      <c r="A118" s="221" t="s">
        <v>116</v>
      </c>
      <c r="B118" s="57">
        <v>8041</v>
      </c>
      <c r="C118" s="60">
        <v>10615</v>
      </c>
      <c r="D118" s="33">
        <v>2800</v>
      </c>
      <c r="E118" s="33">
        <f>5487-D118</f>
        <v>2687</v>
      </c>
      <c r="F118" s="33">
        <v>2709</v>
      </c>
      <c r="G118" s="33">
        <v>3165</v>
      </c>
      <c r="H118" s="34">
        <f t="shared" ref="H118:H135" si="66">SUM(D118:G118)</f>
        <v>11361</v>
      </c>
      <c r="I118" s="33">
        <v>2881</v>
      </c>
      <c r="J118" s="33">
        <v>2930</v>
      </c>
      <c r="K118" s="20">
        <f>K46</f>
        <v>3133</v>
      </c>
      <c r="L118" s="20">
        <f>L46</f>
        <v>3531</v>
      </c>
      <c r="M118" s="34">
        <f>SUM(I118:L118)</f>
        <v>12475</v>
      </c>
      <c r="N118" s="33">
        <v>4291</v>
      </c>
      <c r="O118" s="33">
        <v>4291</v>
      </c>
      <c r="P118" s="5">
        <v>4838</v>
      </c>
      <c r="Q118" s="5">
        <v>5274</v>
      </c>
      <c r="R118" s="34">
        <f>SUM(N118:Q118)</f>
        <v>18694</v>
      </c>
      <c r="S118" s="227">
        <v>5755</v>
      </c>
      <c r="T118" s="137"/>
      <c r="U118" s="137"/>
      <c r="V118" s="137"/>
      <c r="W118" s="137"/>
      <c r="X118" s="137"/>
      <c r="Y118" s="137"/>
      <c r="Z118" s="137"/>
      <c r="AA118" s="137"/>
      <c r="AB118" s="137"/>
      <c r="AC118" s="137"/>
      <c r="AD118" s="137"/>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row>
    <row r="119" spans="1:87" s="2" customFormat="1" x14ac:dyDescent="0.2">
      <c r="A119" s="221" t="s">
        <v>117</v>
      </c>
      <c r="B119" s="60">
        <v>-23</v>
      </c>
      <c r="C119" s="60">
        <v>0</v>
      </c>
      <c r="D119" s="33">
        <v>0</v>
      </c>
      <c r="E119" s="33">
        <v>0</v>
      </c>
      <c r="F119" s="33">
        <v>0</v>
      </c>
      <c r="G119" s="33">
        <v>0</v>
      </c>
      <c r="H119" s="34">
        <v>0</v>
      </c>
      <c r="I119" s="33">
        <v>0</v>
      </c>
      <c r="J119" s="33">
        <v>0</v>
      </c>
      <c r="K119" s="33">
        <v>0</v>
      </c>
      <c r="L119" s="33">
        <v>0</v>
      </c>
      <c r="M119" s="34">
        <v>0</v>
      </c>
      <c r="N119" s="33">
        <v>0</v>
      </c>
      <c r="O119" s="33">
        <v>0</v>
      </c>
      <c r="P119" s="33">
        <v>0</v>
      </c>
      <c r="Q119" s="33">
        <v>0</v>
      </c>
      <c r="R119" s="34">
        <v>0</v>
      </c>
      <c r="S119" s="227">
        <v>0</v>
      </c>
      <c r="T119" s="137"/>
      <c r="U119" s="137"/>
      <c r="V119" s="137"/>
      <c r="W119" s="137"/>
      <c r="X119" s="137"/>
      <c r="Y119" s="137"/>
      <c r="Z119" s="137"/>
      <c r="AA119" s="137"/>
      <c r="AB119" s="137"/>
      <c r="AC119" s="137"/>
      <c r="AD119" s="137"/>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row>
    <row r="120" spans="1:87" s="2" customFormat="1" x14ac:dyDescent="0.2">
      <c r="A120" s="221" t="s">
        <v>118</v>
      </c>
      <c r="B120" s="60">
        <v>-28</v>
      </c>
      <c r="C120" s="60">
        <v>303</v>
      </c>
      <c r="D120" s="33">
        <v>242</v>
      </c>
      <c r="E120" s="33">
        <f>1563-D120</f>
        <v>1321</v>
      </c>
      <c r="F120" s="33">
        <v>845</v>
      </c>
      <c r="G120" s="33">
        <v>134</v>
      </c>
      <c r="H120" s="34">
        <f t="shared" si="66"/>
        <v>2542</v>
      </c>
      <c r="I120" s="33">
        <v>517</v>
      </c>
      <c r="J120" s="33">
        <v>788</v>
      </c>
      <c r="K120" s="20">
        <v>124</v>
      </c>
      <c r="L120" s="20">
        <v>293</v>
      </c>
      <c r="M120" s="34">
        <f t="shared" ref="M120:M134" si="67">SUM(I120:L120)</f>
        <v>1722</v>
      </c>
      <c r="N120" s="33">
        <v>45</v>
      </c>
      <c r="O120" s="33">
        <v>-2</v>
      </c>
      <c r="P120" s="5">
        <v>31</v>
      </c>
      <c r="Q120" s="5">
        <v>18</v>
      </c>
      <c r="R120" s="34">
        <f t="shared" ref="R120:R134" si="68">SUM(N120:Q120)</f>
        <v>92</v>
      </c>
      <c r="S120" s="227">
        <v>106</v>
      </c>
      <c r="T120" s="137"/>
      <c r="U120" s="137"/>
      <c r="V120" s="137"/>
      <c r="W120" s="137"/>
      <c r="X120" s="137"/>
      <c r="Y120" s="137"/>
      <c r="Z120" s="137"/>
      <c r="AA120" s="137"/>
      <c r="AB120" s="137"/>
      <c r="AC120" s="137"/>
      <c r="AD120" s="137"/>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row>
    <row r="121" spans="1:87" s="2" customFormat="1" x14ac:dyDescent="0.2">
      <c r="A121" s="221" t="s">
        <v>119</v>
      </c>
      <c r="B121" s="57">
        <v>1146</v>
      </c>
      <c r="C121" s="60">
        <v>2117</v>
      </c>
      <c r="D121" s="33">
        <v>18</v>
      </c>
      <c r="E121" s="33">
        <f>18-D121</f>
        <v>0</v>
      </c>
      <c r="F121" s="33">
        <v>33</v>
      </c>
      <c r="G121" s="33">
        <v>16</v>
      </c>
      <c r="H121" s="34">
        <f t="shared" si="66"/>
        <v>67</v>
      </c>
      <c r="I121" s="33">
        <v>13</v>
      </c>
      <c r="J121" s="33">
        <v>100</v>
      </c>
      <c r="K121" s="5">
        <v>139</v>
      </c>
      <c r="L121" s="20">
        <v>68</v>
      </c>
      <c r="M121" s="34">
        <f t="shared" si="67"/>
        <v>320</v>
      </c>
      <c r="N121" s="33">
        <v>11</v>
      </c>
      <c r="O121" s="33">
        <v>119</v>
      </c>
      <c r="P121" s="5">
        <v>0</v>
      </c>
      <c r="Q121" s="5">
        <v>16</v>
      </c>
      <c r="R121" s="34">
        <f t="shared" si="68"/>
        <v>146</v>
      </c>
      <c r="S121" s="227">
        <v>40</v>
      </c>
      <c r="T121" s="137"/>
      <c r="U121" s="137"/>
      <c r="V121" s="137"/>
      <c r="W121" s="137"/>
      <c r="X121" s="137"/>
      <c r="Y121" s="137"/>
      <c r="Z121" s="137"/>
      <c r="AA121" s="137"/>
      <c r="AB121" s="137"/>
      <c r="AC121" s="137"/>
      <c r="AD121" s="137"/>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row>
    <row r="122" spans="1:87" s="2" customFormat="1" x14ac:dyDescent="0.2">
      <c r="A122" s="261" t="s">
        <v>120</v>
      </c>
      <c r="B122" s="57"/>
      <c r="C122" s="60"/>
      <c r="D122" s="33"/>
      <c r="E122" s="33"/>
      <c r="F122" s="33"/>
      <c r="G122" s="33"/>
      <c r="H122" s="34"/>
      <c r="I122" s="33"/>
      <c r="J122" s="33"/>
      <c r="K122" s="20"/>
      <c r="L122" s="20"/>
      <c r="M122" s="34"/>
      <c r="N122" s="33"/>
      <c r="O122" s="33">
        <v>-40855</v>
      </c>
      <c r="P122" s="5">
        <v>6660</v>
      </c>
      <c r="Q122" s="5">
        <v>11160</v>
      </c>
      <c r="R122" s="34">
        <f t="shared" si="68"/>
        <v>-23035</v>
      </c>
      <c r="S122" s="227">
        <v>-55851</v>
      </c>
      <c r="T122" s="137"/>
      <c r="U122" s="137"/>
      <c r="V122" s="137"/>
      <c r="W122" s="137"/>
      <c r="X122" s="137"/>
      <c r="Y122" s="137"/>
      <c r="Z122" s="137"/>
      <c r="AA122" s="137"/>
      <c r="AB122" s="137"/>
      <c r="AC122" s="137"/>
      <c r="AD122" s="137"/>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row>
    <row r="123" spans="1:87" s="2" customFormat="1" x14ac:dyDescent="0.2">
      <c r="A123" s="221" t="s">
        <v>121</v>
      </c>
      <c r="B123" s="57">
        <v>15610</v>
      </c>
      <c r="C123" s="60">
        <v>21879</v>
      </c>
      <c r="D123" s="33">
        <v>7905</v>
      </c>
      <c r="E123" s="33">
        <f>16532-D123</f>
        <v>8627</v>
      </c>
      <c r="F123" s="33">
        <v>13663</v>
      </c>
      <c r="G123" s="33">
        <v>48300</v>
      </c>
      <c r="H123" s="34">
        <f t="shared" si="66"/>
        <v>78495</v>
      </c>
      <c r="I123" s="33">
        <v>20195</v>
      </c>
      <c r="J123" s="33">
        <v>33835</v>
      </c>
      <c r="K123" s="20">
        <v>26094</v>
      </c>
      <c r="L123" s="20">
        <v>53448</v>
      </c>
      <c r="M123" s="34">
        <f t="shared" si="67"/>
        <v>133572</v>
      </c>
      <c r="N123" s="33">
        <v>89610</v>
      </c>
      <c r="O123" s="33">
        <v>137549</v>
      </c>
      <c r="P123" s="5">
        <v>35062</v>
      </c>
      <c r="Q123" s="5">
        <v>41110</v>
      </c>
      <c r="R123" s="34">
        <f t="shared" si="68"/>
        <v>303331</v>
      </c>
      <c r="S123" s="227">
        <v>25088</v>
      </c>
      <c r="T123" s="137"/>
      <c r="U123" s="137"/>
      <c r="V123" s="137"/>
      <c r="W123" s="137"/>
      <c r="X123" s="137"/>
      <c r="Y123" s="137"/>
      <c r="Z123" s="137"/>
      <c r="AA123" s="137"/>
      <c r="AB123" s="137"/>
      <c r="AC123" s="137"/>
      <c r="AD123" s="137"/>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row>
    <row r="124" spans="1:87" s="2" customFormat="1" x14ac:dyDescent="0.2">
      <c r="A124" s="221" t="s">
        <v>122</v>
      </c>
      <c r="B124" s="57">
        <v>2830</v>
      </c>
      <c r="C124" s="60">
        <v>-3592</v>
      </c>
      <c r="D124" s="33">
        <v>577</v>
      </c>
      <c r="E124" s="33">
        <v>-1888</v>
      </c>
      <c r="F124" s="33">
        <v>-2635</v>
      </c>
      <c r="G124" s="33">
        <v>-4041</v>
      </c>
      <c r="H124" s="34">
        <f t="shared" si="66"/>
        <v>-7987</v>
      </c>
      <c r="I124" s="33">
        <v>-1548</v>
      </c>
      <c r="J124" s="33">
        <v>-4604</v>
      </c>
      <c r="K124" s="20">
        <v>-5518</v>
      </c>
      <c r="L124" s="20">
        <v>-4858</v>
      </c>
      <c r="M124" s="34">
        <f t="shared" si="67"/>
        <v>-16528</v>
      </c>
      <c r="N124" s="33">
        <v>-598</v>
      </c>
      <c r="O124" s="33">
        <v>-6291</v>
      </c>
      <c r="P124" s="5">
        <v>-52004</v>
      </c>
      <c r="Q124" s="5">
        <v>-22410</v>
      </c>
      <c r="R124" s="34">
        <f t="shared" si="68"/>
        <v>-81303</v>
      </c>
      <c r="S124" s="227">
        <v>18029</v>
      </c>
      <c r="T124" s="137"/>
      <c r="U124" s="137"/>
      <c r="V124" s="137"/>
      <c r="W124" s="137"/>
      <c r="X124" s="137"/>
      <c r="Y124" s="137"/>
      <c r="Z124" s="137"/>
      <c r="AA124" s="137"/>
      <c r="AB124" s="137"/>
      <c r="AC124" s="137"/>
      <c r="AD124" s="137"/>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row>
    <row r="125" spans="1:87" s="2" customFormat="1" x14ac:dyDescent="0.2">
      <c r="A125" s="221" t="s">
        <v>123</v>
      </c>
      <c r="B125" s="57">
        <v>-191</v>
      </c>
      <c r="C125" s="60">
        <v>1144</v>
      </c>
      <c r="D125" s="33">
        <v>307</v>
      </c>
      <c r="E125" s="33">
        <f>613-D125</f>
        <v>306</v>
      </c>
      <c r="F125" s="33">
        <v>-19</v>
      </c>
      <c r="G125" s="33">
        <v>389</v>
      </c>
      <c r="H125" s="34">
        <f t="shared" si="66"/>
        <v>983</v>
      </c>
      <c r="I125" s="33">
        <v>341</v>
      </c>
      <c r="J125" s="33">
        <v>271</v>
      </c>
      <c r="K125" s="20">
        <v>-39</v>
      </c>
      <c r="L125" s="20">
        <v>98</v>
      </c>
      <c r="M125" s="34">
        <f t="shared" si="67"/>
        <v>671</v>
      </c>
      <c r="N125" s="33">
        <v>194</v>
      </c>
      <c r="O125" s="33">
        <v>-147</v>
      </c>
      <c r="P125" s="5">
        <v>30</v>
      </c>
      <c r="Q125" s="5">
        <v>-783</v>
      </c>
      <c r="R125" s="34">
        <f t="shared" si="68"/>
        <v>-706</v>
      </c>
      <c r="S125" s="227">
        <v>1365</v>
      </c>
      <c r="T125" s="137"/>
      <c r="U125" s="137"/>
      <c r="V125" s="137"/>
      <c r="W125" s="137"/>
      <c r="X125" s="137"/>
      <c r="Y125" s="137"/>
      <c r="Z125" s="137"/>
      <c r="AA125" s="137"/>
      <c r="AB125" s="137"/>
      <c r="AC125" s="137"/>
      <c r="AD125" s="137"/>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row>
    <row r="126" spans="1:87" s="2" customFormat="1" x14ac:dyDescent="0.2">
      <c r="A126" s="221" t="s">
        <v>124</v>
      </c>
      <c r="B126" s="57">
        <v>657</v>
      </c>
      <c r="C126" s="60">
        <v>34</v>
      </c>
      <c r="D126" s="33">
        <v>896</v>
      </c>
      <c r="E126" s="33">
        <v>0</v>
      </c>
      <c r="F126" s="33"/>
      <c r="G126" s="33"/>
      <c r="H126" s="34">
        <f>SUM(D126:G126)</f>
        <v>896</v>
      </c>
      <c r="I126" s="33">
        <v>236</v>
      </c>
      <c r="J126" s="33">
        <f>670-I126</f>
        <v>434</v>
      </c>
      <c r="K126" s="20">
        <f>1830-(I126+J126)</f>
        <v>1160</v>
      </c>
      <c r="L126" s="20">
        <f>3345-(K126+J126+I126)</f>
        <v>1515</v>
      </c>
      <c r="M126" s="34">
        <f>SUM(I126:L126)</f>
        <v>3345</v>
      </c>
      <c r="N126" s="33">
        <v>1504</v>
      </c>
      <c r="O126" s="33">
        <v>1606</v>
      </c>
      <c r="P126" s="5">
        <v>1496</v>
      </c>
      <c r="Q126" s="5">
        <v>611</v>
      </c>
      <c r="R126" s="34">
        <f>SUM(N126:Q126)</f>
        <v>5217</v>
      </c>
      <c r="S126" s="227">
        <v>159</v>
      </c>
      <c r="T126" s="137"/>
      <c r="U126" s="137"/>
      <c r="V126" s="137"/>
      <c r="W126" s="137"/>
      <c r="X126" s="137"/>
      <c r="Y126" s="137"/>
      <c r="Z126" s="137"/>
      <c r="AA126" s="137"/>
      <c r="AB126" s="137"/>
      <c r="AC126" s="137"/>
      <c r="AD126" s="137"/>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row>
    <row r="127" spans="1:87" s="5" customFormat="1" x14ac:dyDescent="0.2">
      <c r="A127" s="221" t="s">
        <v>125</v>
      </c>
      <c r="B127" s="57"/>
      <c r="C127" s="60"/>
      <c r="D127" s="33"/>
      <c r="E127" s="33">
        <v>926</v>
      </c>
      <c r="F127" s="33">
        <v>1101</v>
      </c>
      <c r="G127" s="33">
        <v>1005</v>
      </c>
      <c r="H127" s="34">
        <f t="shared" si="66"/>
        <v>3032</v>
      </c>
      <c r="I127" s="33">
        <v>920</v>
      </c>
      <c r="J127" s="33">
        <f>1926-I127</f>
        <v>1006</v>
      </c>
      <c r="K127" s="20">
        <f>2743-(J127+I127)</f>
        <v>817</v>
      </c>
      <c r="L127" s="20">
        <f>4104-(K127+J127+I127)</f>
        <v>1361</v>
      </c>
      <c r="M127" s="34">
        <f t="shared" si="67"/>
        <v>4104</v>
      </c>
      <c r="N127" s="33">
        <v>1111</v>
      </c>
      <c r="O127" s="33">
        <v>1539</v>
      </c>
      <c r="P127" s="5">
        <v>1437</v>
      </c>
      <c r="Q127" s="5">
        <v>1486</v>
      </c>
      <c r="R127" s="34">
        <f t="shared" si="68"/>
        <v>5573</v>
      </c>
      <c r="S127" s="227">
        <v>1556</v>
      </c>
      <c r="T127" s="137"/>
      <c r="U127" s="137"/>
      <c r="V127" s="137"/>
      <c r="W127" s="137"/>
      <c r="X127" s="137"/>
      <c r="Y127" s="137"/>
      <c r="Z127" s="137"/>
      <c r="AA127" s="137"/>
      <c r="AB127" s="137"/>
      <c r="AC127" s="137"/>
      <c r="AD127" s="137"/>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row>
    <row r="128" spans="1:87" s="5" customFormat="1" x14ac:dyDescent="0.2">
      <c r="A128" s="221" t="s">
        <v>126</v>
      </c>
      <c r="B128" s="57"/>
      <c r="C128" s="60"/>
      <c r="D128" s="33"/>
      <c r="E128" s="33"/>
      <c r="F128" s="33"/>
      <c r="G128" s="33"/>
      <c r="H128" s="34"/>
      <c r="I128" s="33">
        <v>902</v>
      </c>
      <c r="J128" s="33">
        <v>-244</v>
      </c>
      <c r="K128" s="20">
        <v>118</v>
      </c>
      <c r="L128" s="20">
        <v>526</v>
      </c>
      <c r="M128" s="34">
        <f t="shared" si="67"/>
        <v>1302</v>
      </c>
      <c r="N128" s="33">
        <v>-335</v>
      </c>
      <c r="O128" s="33">
        <v>397</v>
      </c>
      <c r="P128" s="5">
        <v>553</v>
      </c>
      <c r="Q128" s="5">
        <v>-829</v>
      </c>
      <c r="R128" s="34">
        <f t="shared" si="68"/>
        <v>-214</v>
      </c>
      <c r="S128" s="227">
        <v>228</v>
      </c>
      <c r="T128" s="137"/>
      <c r="U128" s="137"/>
      <c r="V128" s="137"/>
      <c r="W128" s="137"/>
      <c r="X128" s="137"/>
      <c r="Y128" s="137"/>
      <c r="Z128" s="137"/>
      <c r="AA128" s="137"/>
      <c r="AB128" s="137"/>
      <c r="AC128" s="137"/>
      <c r="AD128" s="137"/>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row>
    <row r="129" spans="1:87" s="5" customFormat="1" x14ac:dyDescent="0.2">
      <c r="A129" s="221" t="s">
        <v>127</v>
      </c>
      <c r="B129" s="57"/>
      <c r="C129" s="60"/>
      <c r="D129" s="33"/>
      <c r="E129" s="33"/>
      <c r="F129" s="33"/>
      <c r="G129" s="33"/>
      <c r="H129" s="34">
        <f t="shared" si="66"/>
        <v>0</v>
      </c>
      <c r="I129" s="33"/>
      <c r="J129" s="33"/>
      <c r="K129" s="20"/>
      <c r="L129" s="20"/>
      <c r="M129" s="34"/>
      <c r="N129" s="33"/>
      <c r="O129" s="33"/>
      <c r="R129" s="34"/>
      <c r="S129" s="227"/>
      <c r="T129" s="137"/>
      <c r="U129" s="137"/>
      <c r="V129" s="137"/>
      <c r="W129" s="137"/>
      <c r="X129" s="137"/>
      <c r="Y129" s="137"/>
      <c r="Z129" s="137"/>
      <c r="AA129" s="137"/>
      <c r="AB129" s="137"/>
      <c r="AC129" s="137"/>
      <c r="AD129" s="137"/>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row>
    <row r="130" spans="1:87" s="5" customFormat="1" x14ac:dyDescent="0.2">
      <c r="A130" s="221" t="s">
        <v>128</v>
      </c>
      <c r="B130" s="57">
        <v>-35305</v>
      </c>
      <c r="C130" s="60">
        <v>-67643</v>
      </c>
      <c r="D130" s="33">
        <v>-21994</v>
      </c>
      <c r="E130" s="33">
        <v>10988</v>
      </c>
      <c r="F130" s="33">
        <v>-19491</v>
      </c>
      <c r="G130" s="33">
        <v>-8333</v>
      </c>
      <c r="H130" s="34">
        <f t="shared" si="66"/>
        <v>-38830</v>
      </c>
      <c r="I130" s="33">
        <v>-9700</v>
      </c>
      <c r="J130" s="33">
        <v>325</v>
      </c>
      <c r="K130" s="20">
        <v>-39176</v>
      </c>
      <c r="L130" s="20">
        <v>-59211</v>
      </c>
      <c r="M130" s="34">
        <f t="shared" si="67"/>
        <v>-107762</v>
      </c>
      <c r="N130" s="33">
        <v>31298</v>
      </c>
      <c r="O130" s="33">
        <v>-35286</v>
      </c>
      <c r="P130" s="5">
        <v>-114106</v>
      </c>
      <c r="Q130" s="5">
        <v>-87675</v>
      </c>
      <c r="R130" s="34">
        <f t="shared" si="68"/>
        <v>-205769</v>
      </c>
      <c r="S130" s="227">
        <v>7495</v>
      </c>
      <c r="T130" s="137"/>
      <c r="U130" s="137"/>
      <c r="V130" s="137"/>
      <c r="W130" s="137"/>
      <c r="X130" s="137"/>
      <c r="Y130" s="137"/>
      <c r="Z130" s="137"/>
      <c r="AA130" s="137"/>
      <c r="AB130" s="137"/>
      <c r="AC130" s="137"/>
      <c r="AD130" s="137"/>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row>
    <row r="131" spans="1:87" s="5" customFormat="1" x14ac:dyDescent="0.2">
      <c r="A131" s="221" t="s">
        <v>129</v>
      </c>
      <c r="B131" s="57">
        <v>-11746</v>
      </c>
      <c r="C131" s="60">
        <v>14804</v>
      </c>
      <c r="D131" s="33">
        <v>-3936</v>
      </c>
      <c r="E131" s="33">
        <v>-3579</v>
      </c>
      <c r="F131" s="33">
        <v>1213</v>
      </c>
      <c r="G131" s="33">
        <v>1399</v>
      </c>
      <c r="H131" s="34">
        <f t="shared" si="66"/>
        <v>-4903</v>
      </c>
      <c r="I131" s="33">
        <v>-8630</v>
      </c>
      <c r="J131" s="33">
        <v>-34641</v>
      </c>
      <c r="K131" s="20">
        <v>-16100</v>
      </c>
      <c r="L131" s="20">
        <v>7215</v>
      </c>
      <c r="M131" s="34">
        <f t="shared" si="67"/>
        <v>-52156</v>
      </c>
      <c r="N131" s="33">
        <v>520</v>
      </c>
      <c r="O131" s="33">
        <v>-2368</v>
      </c>
      <c r="P131" s="5">
        <v>-1306</v>
      </c>
      <c r="Q131" s="5">
        <v>-15118</v>
      </c>
      <c r="R131" s="34">
        <f t="shared" si="68"/>
        <v>-18272</v>
      </c>
      <c r="S131" s="227">
        <v>-14260</v>
      </c>
      <c r="T131" s="137"/>
      <c r="U131" s="137"/>
      <c r="V131" s="137"/>
      <c r="W131" s="137"/>
      <c r="X131" s="137"/>
      <c r="Y131" s="137"/>
      <c r="Z131" s="137"/>
      <c r="AA131" s="137"/>
      <c r="AB131" s="137"/>
      <c r="AC131" s="137"/>
      <c r="AD131" s="137"/>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row>
    <row r="132" spans="1:87" s="5" customFormat="1" x14ac:dyDescent="0.2">
      <c r="A132" s="221" t="s">
        <v>130</v>
      </c>
      <c r="B132" s="57">
        <v>-9007</v>
      </c>
      <c r="C132" s="60">
        <v>-12739</v>
      </c>
      <c r="D132" s="33">
        <v>-3152</v>
      </c>
      <c r="E132" s="33">
        <v>-2609</v>
      </c>
      <c r="F132" s="33">
        <v>-6206</v>
      </c>
      <c r="G132" s="33">
        <v>2122</v>
      </c>
      <c r="H132" s="34">
        <f t="shared" si="66"/>
        <v>-9845</v>
      </c>
      <c r="I132" s="33">
        <v>2277</v>
      </c>
      <c r="J132" s="33">
        <v>-10828</v>
      </c>
      <c r="K132" s="20">
        <v>3729</v>
      </c>
      <c r="L132" s="20">
        <v>-10063</v>
      </c>
      <c r="M132" s="34">
        <f t="shared" si="67"/>
        <v>-14885</v>
      </c>
      <c r="N132" s="33">
        <v>-6952</v>
      </c>
      <c r="O132" s="33">
        <v>-6368</v>
      </c>
      <c r="P132" s="5">
        <v>-15586</v>
      </c>
      <c r="Q132" s="5">
        <v>-11252</v>
      </c>
      <c r="R132" s="34">
        <f t="shared" si="68"/>
        <v>-40158</v>
      </c>
      <c r="S132" s="227">
        <v>-7074</v>
      </c>
      <c r="T132" s="137"/>
      <c r="U132" s="137"/>
      <c r="V132" s="137"/>
      <c r="W132" s="137"/>
      <c r="X132" s="137"/>
      <c r="Y132" s="137"/>
      <c r="Z132" s="137"/>
      <c r="AA132" s="137"/>
      <c r="AB132" s="137"/>
      <c r="AC132" s="137"/>
      <c r="AD132" s="137"/>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row>
    <row r="133" spans="1:87" s="5" customFormat="1" x14ac:dyDescent="0.2">
      <c r="A133" s="221" t="s">
        <v>131</v>
      </c>
      <c r="B133" s="57">
        <v>1564</v>
      </c>
      <c r="C133" s="60">
        <v>13506</v>
      </c>
      <c r="D133" s="33">
        <v>-7284</v>
      </c>
      <c r="E133" s="33">
        <v>-9468</v>
      </c>
      <c r="F133" s="33">
        <v>3224</v>
      </c>
      <c r="G133" s="33">
        <v>18495</v>
      </c>
      <c r="H133" s="34">
        <f t="shared" si="66"/>
        <v>4967</v>
      </c>
      <c r="I133" s="33">
        <v>-3562</v>
      </c>
      <c r="J133" s="33">
        <v>20270</v>
      </c>
      <c r="K133" s="20">
        <v>8657</v>
      </c>
      <c r="L133" s="20">
        <v>-16479</v>
      </c>
      <c r="M133" s="34">
        <f t="shared" si="67"/>
        <v>8886</v>
      </c>
      <c r="N133" s="33">
        <v>-18062</v>
      </c>
      <c r="O133" s="33">
        <v>7681</v>
      </c>
      <c r="P133" s="5">
        <v>38909</v>
      </c>
      <c r="Q133" s="5">
        <v>16773</v>
      </c>
      <c r="R133" s="34">
        <f t="shared" si="68"/>
        <v>45301</v>
      </c>
      <c r="S133" s="227">
        <v>-9580</v>
      </c>
      <c r="T133" s="137"/>
      <c r="U133" s="137"/>
      <c r="V133" s="137"/>
      <c r="W133" s="137"/>
      <c r="X133" s="137"/>
      <c r="Y133" s="137"/>
      <c r="Z133" s="137"/>
      <c r="AA133" s="137"/>
      <c r="AB133" s="137"/>
      <c r="AC133" s="137"/>
      <c r="AD133" s="137"/>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row>
    <row r="134" spans="1:87" s="5" customFormat="1" x14ac:dyDescent="0.2">
      <c r="A134" s="221" t="s">
        <v>132</v>
      </c>
      <c r="B134" s="57">
        <v>39735</v>
      </c>
      <c r="C134" s="60">
        <v>54242</v>
      </c>
      <c r="D134" s="33">
        <v>3232</v>
      </c>
      <c r="E134" s="33">
        <v>3345</v>
      </c>
      <c r="F134" s="33">
        <v>21899</v>
      </c>
      <c r="G134" s="33">
        <v>-4463</v>
      </c>
      <c r="H134" s="34">
        <f t="shared" si="66"/>
        <v>24013</v>
      </c>
      <c r="I134" s="33">
        <v>4499</v>
      </c>
      <c r="J134" s="33">
        <v>725</v>
      </c>
      <c r="K134" s="20">
        <v>28875</v>
      </c>
      <c r="L134" s="20">
        <v>31040</v>
      </c>
      <c r="M134" s="34">
        <f t="shared" si="67"/>
        <v>65139</v>
      </c>
      <c r="N134" s="33">
        <v>6219</v>
      </c>
      <c r="O134" s="33">
        <v>19428</v>
      </c>
      <c r="P134" s="5">
        <v>61911</v>
      </c>
      <c r="Q134" s="5">
        <v>88057</v>
      </c>
      <c r="R134" s="34">
        <f t="shared" si="68"/>
        <v>175615</v>
      </c>
      <c r="S134" s="227">
        <v>16037</v>
      </c>
      <c r="T134" s="137"/>
      <c r="U134" s="137"/>
      <c r="V134" s="137"/>
      <c r="W134" s="137"/>
      <c r="X134" s="137"/>
      <c r="Y134" s="137"/>
      <c r="Z134" s="137"/>
      <c r="AA134" s="137"/>
      <c r="AB134" s="137"/>
      <c r="AC134" s="137"/>
      <c r="AD134" s="137"/>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row>
    <row r="135" spans="1:87" s="2" customFormat="1" x14ac:dyDescent="0.2">
      <c r="A135" s="221" t="s">
        <v>133</v>
      </c>
      <c r="B135" s="57">
        <f>SUM(B116:B134)</f>
        <v>18490</v>
      </c>
      <c r="C135" s="60">
        <v>63875</v>
      </c>
      <c r="D135" s="33">
        <f>SUM(D116:D134)</f>
        <v>-13970</v>
      </c>
      <c r="E135" s="33">
        <f>SUM(E116:E134)</f>
        <v>11394</v>
      </c>
      <c r="F135" s="33">
        <f>SUM(F116:F134)</f>
        <v>22440</v>
      </c>
      <c r="G135" s="33">
        <f>SUM(G116:G134)</f>
        <v>45809</v>
      </c>
      <c r="H135" s="34">
        <f t="shared" si="66"/>
        <v>65673</v>
      </c>
      <c r="I135" s="33">
        <f>SUM(I116:I134)</f>
        <v>13415</v>
      </c>
      <c r="J135" s="33">
        <f>SUM(J116:J134)</f>
        <v>-20392</v>
      </c>
      <c r="K135" s="33">
        <f>SUM(K116:K134)</f>
        <v>11140</v>
      </c>
      <c r="L135" s="33">
        <f>SUM(L116:L134)</f>
        <v>34318</v>
      </c>
      <c r="M135" s="34">
        <f>SUM(I135:L135)</f>
        <v>38481</v>
      </c>
      <c r="N135" s="33">
        <f>SUM(N116:N134)</f>
        <v>60939</v>
      </c>
      <c r="O135" s="33">
        <f>SUM(O116:O134)</f>
        <v>34176</v>
      </c>
      <c r="P135" s="33">
        <f>SUM(P116:P134)</f>
        <v>16449</v>
      </c>
      <c r="Q135" s="33">
        <f>SUM(Q116:Q134)</f>
        <v>12930</v>
      </c>
      <c r="R135" s="34">
        <f>SUM(N135:Q135)</f>
        <v>124494</v>
      </c>
      <c r="S135" s="233">
        <f>SUM(S116:S134)</f>
        <v>43964</v>
      </c>
      <c r="T135" s="137"/>
      <c r="U135" s="137"/>
      <c r="V135" s="137"/>
      <c r="W135" s="137"/>
      <c r="X135" s="137"/>
      <c r="Y135" s="137"/>
      <c r="Z135" s="137"/>
      <c r="AA135" s="137"/>
      <c r="AB135" s="137"/>
      <c r="AC135" s="137"/>
      <c r="AD135" s="137"/>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row>
    <row r="136" spans="1:87" s="41" customFormat="1" x14ac:dyDescent="0.2">
      <c r="A136" s="283" t="s">
        <v>134</v>
      </c>
      <c r="B136" s="70">
        <v>0.46107426063537998</v>
      </c>
      <c r="C136" s="70">
        <v>1.0388881660269338</v>
      </c>
      <c r="D136" s="17">
        <f t="shared" ref="D136:S136" si="69">D135/D57</f>
        <v>-1.001290137614679</v>
      </c>
      <c r="E136" s="17">
        <f t="shared" si="69"/>
        <v>0.98461804355340476</v>
      </c>
      <c r="F136" s="17">
        <f t="shared" si="69"/>
        <v>0.93332778771367964</v>
      </c>
      <c r="G136" s="17">
        <f t="shared" si="69"/>
        <v>1.1987491495263516</v>
      </c>
      <c r="H136" s="115">
        <f>H135/H57</f>
        <v>0.74814595413586082</v>
      </c>
      <c r="I136" s="17">
        <f t="shared" si="69"/>
        <v>0.44673482300442907</v>
      </c>
      <c r="J136" s="17">
        <f t="shared" si="69"/>
        <v>-0.72776588151320487</v>
      </c>
      <c r="K136" s="17">
        <f t="shared" si="69"/>
        <v>0.33035793719047479</v>
      </c>
      <c r="L136" s="17">
        <f t="shared" si="69"/>
        <v>0.53590055904306821</v>
      </c>
      <c r="M136" s="115">
        <f t="shared" si="69"/>
        <v>0.24697704867529266</v>
      </c>
      <c r="N136" s="17">
        <f t="shared" si="69"/>
        <v>1.3299070315568942</v>
      </c>
      <c r="O136" s="17">
        <f t="shared" si="69"/>
        <v>0.66688781782348239</v>
      </c>
      <c r="P136" s="17">
        <f t="shared" si="69"/>
        <v>0.32548429863268497</v>
      </c>
      <c r="Q136" s="17">
        <f t="shared" si="69"/>
        <v>0.42385104569592869</v>
      </c>
      <c r="R136" s="115">
        <f t="shared" si="69"/>
        <v>0.69896469637082281</v>
      </c>
      <c r="S136" s="232">
        <f t="shared" si="69"/>
        <v>0.89979533360622188</v>
      </c>
      <c r="T136" s="143"/>
      <c r="U136" s="143"/>
      <c r="V136" s="143"/>
      <c r="W136" s="143"/>
      <c r="X136" s="143"/>
      <c r="Y136" s="143"/>
      <c r="Z136" s="143"/>
      <c r="AA136" s="143"/>
      <c r="AB136" s="143"/>
      <c r="AC136" s="143"/>
      <c r="AD136" s="143"/>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c r="BC136" s="154"/>
      <c r="BD136" s="154"/>
      <c r="BE136" s="154"/>
      <c r="BF136" s="154"/>
      <c r="BG136" s="154"/>
      <c r="BH136" s="154"/>
      <c r="BI136" s="154"/>
      <c r="BJ136" s="154"/>
      <c r="BK136" s="154"/>
      <c r="BL136" s="154"/>
      <c r="BM136" s="154"/>
      <c r="BN136" s="154"/>
      <c r="BO136" s="154"/>
      <c r="BP136" s="154"/>
      <c r="BQ136" s="154"/>
      <c r="BR136" s="154"/>
      <c r="BS136" s="154"/>
      <c r="BT136" s="154"/>
      <c r="BU136" s="154"/>
      <c r="BV136" s="154"/>
      <c r="BW136" s="154"/>
      <c r="BX136" s="154"/>
      <c r="BY136" s="154"/>
      <c r="BZ136" s="154"/>
      <c r="CA136" s="154"/>
      <c r="CB136" s="154"/>
      <c r="CC136" s="154"/>
      <c r="CD136" s="154"/>
      <c r="CE136" s="154"/>
      <c r="CF136" s="154"/>
      <c r="CG136" s="154"/>
      <c r="CH136" s="154"/>
      <c r="CI136" s="154"/>
    </row>
    <row r="137" spans="1:87" s="2" customFormat="1" x14ac:dyDescent="0.2">
      <c r="A137" s="221"/>
      <c r="B137" s="57"/>
      <c r="C137" s="60"/>
      <c r="D137" s="33"/>
      <c r="E137" s="98"/>
      <c r="F137" s="98"/>
      <c r="G137" s="98"/>
      <c r="H137" s="51"/>
      <c r="I137" s="98"/>
      <c r="J137" s="98"/>
      <c r="K137" s="98"/>
      <c r="L137" s="98"/>
      <c r="M137" s="34"/>
      <c r="N137" s="98"/>
      <c r="O137" s="98"/>
      <c r="P137" s="5"/>
      <c r="Q137" s="5"/>
      <c r="R137" s="34"/>
      <c r="S137" s="227"/>
      <c r="T137" s="137"/>
      <c r="U137" s="137"/>
      <c r="V137" s="137"/>
      <c r="W137" s="137"/>
      <c r="X137" s="137"/>
      <c r="Y137" s="137"/>
      <c r="Z137" s="137"/>
      <c r="AA137" s="137"/>
      <c r="AB137" s="137"/>
      <c r="AC137" s="137"/>
      <c r="AD137" s="137"/>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row>
    <row r="138" spans="1:87" s="2" customFormat="1" x14ac:dyDescent="0.2">
      <c r="A138" s="221" t="s">
        <v>135</v>
      </c>
      <c r="B138" s="57"/>
      <c r="C138" s="60"/>
      <c r="D138" s="33"/>
      <c r="E138" s="98"/>
      <c r="F138" s="33"/>
      <c r="G138" s="33"/>
      <c r="H138" s="34"/>
      <c r="I138" s="98"/>
      <c r="J138" s="98"/>
      <c r="K138" s="98"/>
      <c r="L138" s="98"/>
      <c r="M138" s="34"/>
      <c r="N138" s="98"/>
      <c r="O138" s="98"/>
      <c r="P138" s="5"/>
      <c r="Q138" s="5"/>
      <c r="R138" s="34"/>
      <c r="S138" s="227"/>
      <c r="T138" s="137"/>
      <c r="U138" s="137"/>
      <c r="V138" s="137"/>
      <c r="W138" s="137"/>
      <c r="X138" s="137"/>
      <c r="Y138" s="137"/>
      <c r="Z138" s="137"/>
      <c r="AA138" s="137"/>
      <c r="AB138" s="137"/>
      <c r="AC138" s="137"/>
      <c r="AD138" s="137"/>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row>
    <row r="139" spans="1:87" s="2" customFormat="1" x14ac:dyDescent="0.2">
      <c r="A139" s="221" t="s">
        <v>136</v>
      </c>
      <c r="B139" s="57">
        <v>-19950</v>
      </c>
      <c r="C139" s="60">
        <v>-4331</v>
      </c>
      <c r="D139" s="33">
        <v>-105322</v>
      </c>
      <c r="E139" s="33">
        <f>-141992-D139</f>
        <v>-36670</v>
      </c>
      <c r="F139" s="33">
        <v>-100701</v>
      </c>
      <c r="G139" s="33">
        <v>-111784</v>
      </c>
      <c r="H139" s="34">
        <f>SUM(D139:G139)</f>
        <v>-354477</v>
      </c>
      <c r="I139" s="33">
        <v>-99512</v>
      </c>
      <c r="J139" s="33">
        <v>-193085</v>
      </c>
      <c r="K139" s="20">
        <v>-224090</v>
      </c>
      <c r="L139" s="20">
        <v>-139835</v>
      </c>
      <c r="M139" s="34">
        <f>SUM(I139:L139)</f>
        <v>-656522</v>
      </c>
      <c r="N139" s="33">
        <v>-155825</v>
      </c>
      <c r="O139" s="33">
        <v>-82463</v>
      </c>
      <c r="P139" s="5">
        <v>-124191</v>
      </c>
      <c r="Q139" s="5">
        <v>0</v>
      </c>
      <c r="R139" s="34">
        <f t="shared" ref="R139:R145" si="70">SUM(N139:Q139)</f>
        <v>-362479</v>
      </c>
      <c r="S139" s="227">
        <v>0</v>
      </c>
      <c r="T139" s="137"/>
      <c r="U139" s="137"/>
      <c r="V139" s="137"/>
      <c r="W139" s="137"/>
      <c r="X139" s="137"/>
      <c r="Y139" s="137"/>
      <c r="Z139" s="137"/>
      <c r="AA139" s="137"/>
      <c r="AB139" s="137"/>
      <c r="AC139" s="137"/>
      <c r="AD139" s="137"/>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row>
    <row r="140" spans="1:87" s="2" customFormat="1" x14ac:dyDescent="0.2">
      <c r="A140" s="221" t="s">
        <v>137</v>
      </c>
      <c r="B140" s="57">
        <v>61080</v>
      </c>
      <c r="C140" s="60">
        <v>11158</v>
      </c>
      <c r="D140" s="33"/>
      <c r="E140" s="33">
        <v>25319</v>
      </c>
      <c r="F140" s="33">
        <v>66888</v>
      </c>
      <c r="G140" s="33">
        <v>37876</v>
      </c>
      <c r="H140" s="34">
        <f t="shared" ref="H140:H146" si="71">SUM(D140:G140)</f>
        <v>130083</v>
      </c>
      <c r="I140" s="33">
        <v>84315</v>
      </c>
      <c r="J140" s="33">
        <v>74355</v>
      </c>
      <c r="K140" s="20">
        <v>128529</v>
      </c>
      <c r="L140" s="20">
        <v>92640</v>
      </c>
      <c r="M140" s="34">
        <f t="shared" ref="M140:M146" si="72">SUM(I140:L140)</f>
        <v>379839</v>
      </c>
      <c r="N140" s="33">
        <v>132254</v>
      </c>
      <c r="O140" s="33">
        <v>162560</v>
      </c>
      <c r="P140" s="5">
        <v>204358</v>
      </c>
      <c r="Q140" s="5">
        <v>219445</v>
      </c>
      <c r="R140" s="34">
        <f t="shared" si="70"/>
        <v>718617</v>
      </c>
      <c r="S140" s="227">
        <v>7200</v>
      </c>
      <c r="T140" s="137"/>
      <c r="U140" s="137"/>
      <c r="V140" s="137"/>
      <c r="W140" s="137"/>
      <c r="X140" s="137"/>
      <c r="Y140" s="137"/>
      <c r="Z140" s="137"/>
      <c r="AA140" s="137"/>
      <c r="AB140" s="137"/>
      <c r="AC140" s="137"/>
      <c r="AD140" s="137"/>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row>
    <row r="141" spans="1:87" s="2" customFormat="1" x14ac:dyDescent="0.2">
      <c r="A141" s="221" t="s">
        <v>138</v>
      </c>
      <c r="B141" s="57"/>
      <c r="C141" s="60"/>
      <c r="D141" s="33">
        <v>0</v>
      </c>
      <c r="E141" s="33">
        <v>0</v>
      </c>
      <c r="F141" s="20">
        <v>0</v>
      </c>
      <c r="G141" s="20">
        <v>0</v>
      </c>
      <c r="H141" s="34">
        <f t="shared" si="71"/>
        <v>0</v>
      </c>
      <c r="I141" s="33">
        <v>0</v>
      </c>
      <c r="J141" s="33">
        <v>0</v>
      </c>
      <c r="K141" s="20">
        <v>0</v>
      </c>
      <c r="L141" s="20">
        <v>0</v>
      </c>
      <c r="M141" s="34">
        <f t="shared" si="72"/>
        <v>0</v>
      </c>
      <c r="N141" s="33">
        <v>0</v>
      </c>
      <c r="O141" s="33">
        <v>14546</v>
      </c>
      <c r="P141" s="5">
        <v>0</v>
      </c>
      <c r="Q141" s="5">
        <v>0</v>
      </c>
      <c r="R141" s="34">
        <f t="shared" si="70"/>
        <v>14546</v>
      </c>
      <c r="S141" s="227">
        <v>0</v>
      </c>
      <c r="T141" s="137"/>
      <c r="U141" s="137"/>
      <c r="V141" s="137"/>
      <c r="W141" s="137"/>
      <c r="X141" s="137"/>
      <c r="Y141" s="137"/>
      <c r="Z141" s="137"/>
      <c r="AA141" s="137"/>
      <c r="AB141" s="137"/>
      <c r="AC141" s="137"/>
      <c r="AD141" s="137"/>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row>
    <row r="142" spans="1:87" s="2" customFormat="1" x14ac:dyDescent="0.2">
      <c r="A142" s="221" t="s">
        <v>139</v>
      </c>
      <c r="B142" s="57">
        <v>-10419</v>
      </c>
      <c r="C142" s="60">
        <v>-11139</v>
      </c>
      <c r="D142" s="33">
        <v>-5271</v>
      </c>
      <c r="E142" s="33">
        <f>-7861-D142</f>
        <v>-2590</v>
      </c>
      <c r="F142" s="33">
        <v>-4250</v>
      </c>
      <c r="G142" s="33">
        <v>-3828</v>
      </c>
      <c r="H142" s="34">
        <f t="shared" si="71"/>
        <v>-15939</v>
      </c>
      <c r="I142" s="33">
        <v>-2209</v>
      </c>
      <c r="J142" s="33">
        <v>-5342</v>
      </c>
      <c r="K142" s="20">
        <v>-58472</v>
      </c>
      <c r="L142" s="20">
        <v>-6606</v>
      </c>
      <c r="M142" s="34">
        <f t="shared" si="72"/>
        <v>-72629</v>
      </c>
      <c r="N142" s="33">
        <v>-10521</v>
      </c>
      <c r="O142" s="33">
        <v>-13510</v>
      </c>
      <c r="P142" s="5">
        <v>-12470</v>
      </c>
      <c r="Q142" s="5">
        <v>-13385</v>
      </c>
      <c r="R142" s="34">
        <f t="shared" si="70"/>
        <v>-49886</v>
      </c>
      <c r="S142" s="227">
        <v>-17098</v>
      </c>
      <c r="T142" s="137"/>
      <c r="U142" s="137"/>
      <c r="V142" s="137"/>
      <c r="W142" s="137"/>
      <c r="X142" s="137"/>
      <c r="Y142" s="137"/>
      <c r="Z142" s="137"/>
      <c r="AA142" s="137"/>
      <c r="AB142" s="137"/>
      <c r="AC142" s="137"/>
      <c r="AD142" s="137"/>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row>
    <row r="143" spans="1:87" s="2" customFormat="1" x14ac:dyDescent="0.2">
      <c r="A143" s="221" t="s">
        <v>140</v>
      </c>
      <c r="B143" s="57">
        <v>24</v>
      </c>
      <c r="C143" s="60">
        <v>0</v>
      </c>
      <c r="D143" s="33"/>
      <c r="E143" s="33"/>
      <c r="F143" s="33"/>
      <c r="G143" s="33"/>
      <c r="H143" s="34">
        <f t="shared" si="71"/>
        <v>0</v>
      </c>
      <c r="I143" s="33">
        <v>78</v>
      </c>
      <c r="J143" s="33">
        <v>0</v>
      </c>
      <c r="K143" s="20">
        <v>16</v>
      </c>
      <c r="L143" s="20">
        <v>1</v>
      </c>
      <c r="M143" s="34">
        <f t="shared" si="72"/>
        <v>95</v>
      </c>
      <c r="N143" s="33">
        <v>10</v>
      </c>
      <c r="O143" s="33">
        <v>38</v>
      </c>
      <c r="P143" s="5">
        <v>-17</v>
      </c>
      <c r="Q143" s="5">
        <v>12</v>
      </c>
      <c r="R143" s="34">
        <f t="shared" si="70"/>
        <v>43</v>
      </c>
      <c r="S143" s="227">
        <v>87</v>
      </c>
      <c r="T143" s="137"/>
      <c r="U143" s="137"/>
      <c r="V143" s="137"/>
      <c r="W143" s="137"/>
      <c r="X143" s="137"/>
      <c r="Y143" s="137"/>
      <c r="Z143" s="137"/>
      <c r="AA143" s="137"/>
      <c r="AB143" s="137"/>
      <c r="AC143" s="137"/>
      <c r="AD143" s="137"/>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row>
    <row r="144" spans="1:87" s="2" customFormat="1" x14ac:dyDescent="0.2">
      <c r="A144" s="221" t="s">
        <v>141</v>
      </c>
      <c r="B144" s="57">
        <v>-1024</v>
      </c>
      <c r="C144" s="60">
        <v>-558</v>
      </c>
      <c r="D144" s="33">
        <v>-162</v>
      </c>
      <c r="E144" s="33">
        <f>-344-D144</f>
        <v>-182</v>
      </c>
      <c r="F144" s="33">
        <v>16</v>
      </c>
      <c r="G144" s="33">
        <v>-76</v>
      </c>
      <c r="H144" s="34">
        <f t="shared" si="71"/>
        <v>-404</v>
      </c>
      <c r="I144" s="33">
        <v>-45</v>
      </c>
      <c r="J144" s="33">
        <v>-66</v>
      </c>
      <c r="K144" s="20">
        <v>-66</v>
      </c>
      <c r="L144" s="20">
        <v>-64</v>
      </c>
      <c r="M144" s="34">
        <f t="shared" si="72"/>
        <v>-241</v>
      </c>
      <c r="N144" s="33">
        <v>-41</v>
      </c>
      <c r="O144" s="33">
        <v>-102</v>
      </c>
      <c r="P144" s="5">
        <v>-14</v>
      </c>
      <c r="Q144" s="5">
        <v>-235</v>
      </c>
      <c r="R144" s="34">
        <f t="shared" si="70"/>
        <v>-392</v>
      </c>
      <c r="S144" s="227">
        <v>-37</v>
      </c>
      <c r="T144" s="137"/>
      <c r="U144" s="137"/>
      <c r="V144" s="137"/>
      <c r="W144" s="137"/>
      <c r="X144" s="137"/>
      <c r="Y144" s="137"/>
      <c r="Z144" s="137"/>
      <c r="AA144" s="137"/>
      <c r="AB144" s="137"/>
      <c r="AC144" s="137"/>
      <c r="AD144" s="137"/>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row>
    <row r="145" spans="1:87" s="2" customFormat="1" ht="16" customHeight="1" x14ac:dyDescent="0.2">
      <c r="A145" s="221" t="s">
        <v>142</v>
      </c>
      <c r="B145" s="57">
        <v>0</v>
      </c>
      <c r="C145" s="60">
        <v>0</v>
      </c>
      <c r="D145" s="33">
        <v>0</v>
      </c>
      <c r="E145" s="33">
        <v>0</v>
      </c>
      <c r="F145" s="33">
        <v>0</v>
      </c>
      <c r="G145" s="33">
        <v>0</v>
      </c>
      <c r="H145" s="34">
        <f t="shared" si="71"/>
        <v>0</v>
      </c>
      <c r="I145" s="33">
        <v>-4700</v>
      </c>
      <c r="J145" s="33"/>
      <c r="K145" s="20"/>
      <c r="L145" s="20">
        <v>-2368</v>
      </c>
      <c r="M145" s="34">
        <f t="shared" si="72"/>
        <v>-7068</v>
      </c>
      <c r="N145" s="33">
        <v>-20000</v>
      </c>
      <c r="O145" s="33">
        <v>-500</v>
      </c>
      <c r="P145" s="5">
        <v>0</v>
      </c>
      <c r="Q145" s="5">
        <v>-25000</v>
      </c>
      <c r="R145" s="34">
        <f t="shared" si="70"/>
        <v>-45500</v>
      </c>
      <c r="S145" s="227">
        <v>-500</v>
      </c>
      <c r="T145" s="137"/>
      <c r="U145" s="137"/>
      <c r="V145" s="137"/>
      <c r="W145" s="137"/>
      <c r="X145" s="137"/>
      <c r="Y145" s="137"/>
      <c r="Z145" s="137"/>
      <c r="AA145" s="137"/>
      <c r="AB145" s="137"/>
      <c r="AC145" s="137"/>
      <c r="AD145" s="137"/>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row>
    <row r="146" spans="1:87" s="3" customFormat="1" x14ac:dyDescent="0.2">
      <c r="A146" s="225" t="s">
        <v>143</v>
      </c>
      <c r="B146" s="59">
        <v>-10629</v>
      </c>
      <c r="C146" s="76">
        <v>-4990</v>
      </c>
      <c r="D146" s="31">
        <v>0</v>
      </c>
      <c r="E146" s="31">
        <v>0</v>
      </c>
      <c r="F146" s="37">
        <v>0</v>
      </c>
      <c r="G146" s="31">
        <v>0</v>
      </c>
      <c r="H146" s="35">
        <f t="shared" si="71"/>
        <v>0</v>
      </c>
      <c r="I146" s="31">
        <v>0</v>
      </c>
      <c r="J146" s="31">
        <v>0</v>
      </c>
      <c r="K146" s="31">
        <v>0</v>
      </c>
      <c r="L146" s="31">
        <v>0</v>
      </c>
      <c r="M146" s="35">
        <f t="shared" si="72"/>
        <v>0</v>
      </c>
      <c r="N146" s="31">
        <v>0</v>
      </c>
      <c r="O146" s="31">
        <v>0</v>
      </c>
      <c r="P146" s="3">
        <v>-700</v>
      </c>
      <c r="Q146" s="3">
        <v>-21693</v>
      </c>
      <c r="R146" s="35">
        <f t="shared" ref="R146" si="73">SUM(N146:Q146)</f>
        <v>-22393</v>
      </c>
      <c r="S146" s="226">
        <v>0</v>
      </c>
      <c r="T146" s="137"/>
      <c r="U146" s="137"/>
      <c r="V146" s="137"/>
      <c r="W146" s="137"/>
      <c r="X146" s="137"/>
      <c r="Y146" s="137"/>
      <c r="Z146" s="137"/>
      <c r="AA146" s="137"/>
      <c r="AB146" s="137"/>
      <c r="AC146" s="137"/>
      <c r="AD146" s="137"/>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row>
    <row r="147" spans="1:87" s="2" customFormat="1" x14ac:dyDescent="0.2">
      <c r="A147" s="221" t="s">
        <v>144</v>
      </c>
      <c r="B147" s="57">
        <v>19082</v>
      </c>
      <c r="C147" s="60">
        <v>-9860</v>
      </c>
      <c r="D147" s="33">
        <f t="shared" ref="D147" si="74">SUM(D139:D146)</f>
        <v>-110755</v>
      </c>
      <c r="E147" s="33">
        <f t="shared" ref="E147:L147" si="75">SUM(E139:E146)</f>
        <v>-14123</v>
      </c>
      <c r="F147" s="33">
        <f t="shared" si="75"/>
        <v>-38047</v>
      </c>
      <c r="G147" s="33">
        <f t="shared" si="75"/>
        <v>-77812</v>
      </c>
      <c r="H147" s="34">
        <f t="shared" si="75"/>
        <v>-240737</v>
      </c>
      <c r="I147" s="33">
        <f t="shared" si="75"/>
        <v>-22073</v>
      </c>
      <c r="J147" s="33">
        <f t="shared" si="75"/>
        <v>-124138</v>
      </c>
      <c r="K147" s="33">
        <f t="shared" si="75"/>
        <v>-154083</v>
      </c>
      <c r="L147" s="33">
        <f t="shared" si="75"/>
        <v>-56232</v>
      </c>
      <c r="M147" s="34">
        <f t="shared" ref="M147" si="76">SUM(M139:M146)</f>
        <v>-356526</v>
      </c>
      <c r="N147" s="33">
        <f t="shared" ref="N147:S147" si="77">SUM(N139:N146)</f>
        <v>-54123</v>
      </c>
      <c r="O147" s="33">
        <f t="shared" si="77"/>
        <v>80569</v>
      </c>
      <c r="P147" s="33">
        <f t="shared" si="77"/>
        <v>66966</v>
      </c>
      <c r="Q147" s="33">
        <f t="shared" si="77"/>
        <v>159144</v>
      </c>
      <c r="R147" s="34">
        <f>SUM(N147:Q147)</f>
        <v>252556</v>
      </c>
      <c r="S147" s="233">
        <f t="shared" si="77"/>
        <v>-10348</v>
      </c>
      <c r="T147" s="137"/>
      <c r="U147" s="137"/>
      <c r="V147" s="137"/>
      <c r="W147" s="137"/>
      <c r="X147" s="137"/>
      <c r="Y147" s="137"/>
      <c r="Z147" s="137"/>
      <c r="AA147" s="137"/>
      <c r="AB147" s="137"/>
      <c r="AC147" s="137"/>
      <c r="AD147" s="137"/>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row>
    <row r="148" spans="1:87" s="2" customFormat="1" x14ac:dyDescent="0.2">
      <c r="A148" s="221"/>
      <c r="B148" s="57"/>
      <c r="C148" s="60"/>
      <c r="D148" s="33"/>
      <c r="E148" s="33"/>
      <c r="F148" s="98"/>
      <c r="G148" s="98"/>
      <c r="H148" s="51"/>
      <c r="I148" s="98"/>
      <c r="J148" s="98"/>
      <c r="K148" s="98"/>
      <c r="L148" s="98"/>
      <c r="M148" s="34"/>
      <c r="N148" s="98"/>
      <c r="O148" s="98"/>
      <c r="P148" s="5"/>
      <c r="Q148" s="5"/>
      <c r="R148" s="34"/>
      <c r="S148" s="227"/>
      <c r="T148" s="137"/>
      <c r="U148" s="137"/>
      <c r="V148" s="137"/>
      <c r="W148" s="137"/>
      <c r="X148" s="137"/>
      <c r="Y148" s="137"/>
      <c r="Z148" s="137"/>
      <c r="AA148" s="137"/>
      <c r="AB148" s="137"/>
      <c r="AC148" s="137"/>
      <c r="AD148" s="137"/>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row>
    <row r="149" spans="1:87" s="2" customFormat="1" x14ac:dyDescent="0.2">
      <c r="A149" s="221" t="s">
        <v>145</v>
      </c>
      <c r="B149" s="57"/>
      <c r="C149" s="60"/>
      <c r="D149" s="33"/>
      <c r="E149" s="98"/>
      <c r="F149" s="98"/>
      <c r="G149" s="98"/>
      <c r="H149" s="51"/>
      <c r="I149" s="98"/>
      <c r="J149" s="98"/>
      <c r="K149" s="98"/>
      <c r="L149" s="98"/>
      <c r="M149" s="34"/>
      <c r="N149" s="98"/>
      <c r="O149" s="98"/>
      <c r="P149" s="5"/>
      <c r="Q149" s="5"/>
      <c r="R149" s="34"/>
      <c r="S149" s="227"/>
      <c r="T149" s="137"/>
      <c r="U149" s="137"/>
      <c r="V149" s="137"/>
      <c r="W149" s="137"/>
      <c r="X149" s="137"/>
      <c r="Y149" s="137"/>
      <c r="Z149" s="137"/>
      <c r="AA149" s="137"/>
      <c r="AB149" s="137"/>
      <c r="AC149" s="137"/>
      <c r="AD149" s="137"/>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row>
    <row r="150" spans="1:87" s="2" customFormat="1" x14ac:dyDescent="0.2">
      <c r="A150" s="221" t="s">
        <v>146</v>
      </c>
      <c r="B150" s="57"/>
      <c r="C150" s="60">
        <v>233993</v>
      </c>
      <c r="D150" s="33"/>
      <c r="E150" s="98"/>
      <c r="F150" s="98"/>
      <c r="G150" s="33"/>
      <c r="H150" s="34"/>
      <c r="I150" s="98"/>
      <c r="J150" s="33">
        <v>306779</v>
      </c>
      <c r="K150" s="98"/>
      <c r="L150" s="98"/>
      <c r="M150" s="34">
        <f>SUM(I150:L150)</f>
        <v>306779</v>
      </c>
      <c r="N150" s="98"/>
      <c r="O150" s="33"/>
      <c r="P150" s="5">
        <v>105615</v>
      </c>
      <c r="Q150" s="5">
        <v>-101</v>
      </c>
      <c r="R150" s="34">
        <f>SUM(N150:Q150)</f>
        <v>105514</v>
      </c>
      <c r="S150" s="227">
        <v>-71</v>
      </c>
      <c r="T150" s="137"/>
      <c r="U150" s="137"/>
      <c r="V150" s="137"/>
      <c r="W150" s="137"/>
      <c r="X150" s="137"/>
      <c r="Y150" s="137"/>
      <c r="Z150" s="137"/>
      <c r="AA150" s="137"/>
      <c r="AB150" s="137"/>
      <c r="AC150" s="137"/>
      <c r="AD150" s="137"/>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row>
    <row r="151" spans="1:87" s="2" customFormat="1" x14ac:dyDescent="0.2">
      <c r="A151" s="221" t="s">
        <v>147</v>
      </c>
      <c r="B151" s="57">
        <v>1383</v>
      </c>
      <c r="C151" s="60">
        <v>1757</v>
      </c>
      <c r="D151" s="33">
        <v>100</v>
      </c>
      <c r="E151" s="33">
        <v>4</v>
      </c>
      <c r="F151" s="33">
        <v>2</v>
      </c>
      <c r="G151" s="33">
        <v>8</v>
      </c>
      <c r="H151" s="34">
        <f t="shared" ref="H151:H152" si="78">SUM(D151:G151)</f>
        <v>114</v>
      </c>
      <c r="I151" s="33">
        <v>28</v>
      </c>
      <c r="J151" s="33">
        <v>267</v>
      </c>
      <c r="K151" s="98"/>
      <c r="L151" s="98"/>
      <c r="M151" s="34">
        <f t="shared" ref="M151:M152" si="79">SUM(I151:L151)</f>
        <v>295</v>
      </c>
      <c r="N151" s="33">
        <v>0</v>
      </c>
      <c r="O151" s="33"/>
      <c r="P151" s="5">
        <v>0</v>
      </c>
      <c r="Q151" s="5">
        <v>51614</v>
      </c>
      <c r="R151" s="34">
        <f t="shared" ref="R151:R152" si="80">SUM(N151:Q151)</f>
        <v>51614</v>
      </c>
      <c r="S151" s="227">
        <v>0</v>
      </c>
      <c r="T151" s="137"/>
      <c r="U151" s="137"/>
      <c r="V151" s="137"/>
      <c r="W151" s="137"/>
      <c r="X151" s="137"/>
      <c r="Y151" s="137"/>
      <c r="Z151" s="137"/>
      <c r="AA151" s="137"/>
      <c r="AB151" s="137"/>
      <c r="AC151" s="137"/>
      <c r="AD151" s="137"/>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row>
    <row r="152" spans="1:87" s="2" customFormat="1" x14ac:dyDescent="0.2">
      <c r="A152" s="221" t="s">
        <v>148</v>
      </c>
      <c r="B152" s="57">
        <v>-3453</v>
      </c>
      <c r="C152" s="60">
        <v>-14127</v>
      </c>
      <c r="D152" s="33">
        <v>-1259</v>
      </c>
      <c r="E152" s="33">
        <v>-873</v>
      </c>
      <c r="F152" s="33">
        <v>-1136</v>
      </c>
      <c r="G152" s="33">
        <v>-783</v>
      </c>
      <c r="H152" s="34">
        <f t="shared" si="78"/>
        <v>-4051</v>
      </c>
      <c r="I152" s="33">
        <v>-5190</v>
      </c>
      <c r="J152" s="33">
        <v>-577</v>
      </c>
      <c r="K152" s="20">
        <v>-1119</v>
      </c>
      <c r="L152" s="20">
        <v>-923</v>
      </c>
      <c r="M152" s="34">
        <f t="shared" si="79"/>
        <v>-7809</v>
      </c>
      <c r="N152" s="33">
        <v>-7045</v>
      </c>
      <c r="O152" s="33">
        <v>-3267</v>
      </c>
      <c r="P152" s="5">
        <v>-172205</v>
      </c>
      <c r="Q152" s="5">
        <v>-148792</v>
      </c>
      <c r="R152" s="34">
        <f t="shared" si="80"/>
        <v>-331309</v>
      </c>
      <c r="S152" s="227">
        <v>-1388</v>
      </c>
      <c r="T152" s="137"/>
      <c r="U152" s="137"/>
      <c r="V152" s="137"/>
      <c r="W152" s="137"/>
      <c r="X152" s="137"/>
      <c r="Y152" s="137"/>
      <c r="Z152" s="137"/>
      <c r="AA152" s="137"/>
      <c r="AB152" s="137"/>
      <c r="AC152" s="137"/>
      <c r="AD152" s="137"/>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row>
    <row r="153" spans="1:87" s="2" customFormat="1" x14ac:dyDescent="0.2">
      <c r="A153" s="221" t="s">
        <v>149</v>
      </c>
      <c r="B153" s="57">
        <f>-1750-34</f>
        <v>-1784</v>
      </c>
      <c r="C153" s="60">
        <v>-2275</v>
      </c>
      <c r="D153" s="33"/>
      <c r="E153" s="33"/>
      <c r="F153" s="33"/>
      <c r="G153" s="33"/>
      <c r="H153" s="34"/>
      <c r="I153" s="33"/>
      <c r="J153" s="98"/>
      <c r="K153" s="98"/>
      <c r="L153" s="98"/>
      <c r="M153" s="34"/>
      <c r="N153" s="33"/>
      <c r="O153" s="98"/>
      <c r="P153" s="5"/>
      <c r="Q153" s="5"/>
      <c r="R153" s="34"/>
      <c r="S153" s="227"/>
      <c r="T153" s="137"/>
      <c r="U153" s="137"/>
      <c r="V153" s="137"/>
      <c r="W153" s="137"/>
      <c r="X153" s="137"/>
      <c r="Y153" s="137"/>
      <c r="Z153" s="137"/>
      <c r="AA153" s="137"/>
      <c r="AB153" s="137"/>
      <c r="AC153" s="137"/>
      <c r="AD153" s="137"/>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row>
    <row r="154" spans="1:87" s="2" customFormat="1" x14ac:dyDescent="0.2">
      <c r="A154" s="221" t="s">
        <v>150</v>
      </c>
      <c r="B154" s="57">
        <f>SUM(B151:B153)</f>
        <v>-3854</v>
      </c>
      <c r="C154" s="60">
        <v>219348</v>
      </c>
      <c r="D154" s="5">
        <f>SUM(D150:D153)</f>
        <v>-1159</v>
      </c>
      <c r="E154" s="33">
        <f>SUM(E149:E153)</f>
        <v>-869</v>
      </c>
      <c r="F154" s="33">
        <f>SUM(F149:F153)</f>
        <v>-1134</v>
      </c>
      <c r="G154" s="33">
        <f>SUM(G149:G153)</f>
        <v>-775</v>
      </c>
      <c r="H154" s="34">
        <f>SUM(H150:H153)</f>
        <v>-3937</v>
      </c>
      <c r="I154" s="33">
        <f>SUM(I149:I153)</f>
        <v>-5162</v>
      </c>
      <c r="J154" s="33">
        <f>SUM(J149:J153)</f>
        <v>306469</v>
      </c>
      <c r="K154" s="33">
        <f>SUM(K149:K153)</f>
        <v>-1119</v>
      </c>
      <c r="L154" s="33">
        <f>SUM(L149:L153)</f>
        <v>-923</v>
      </c>
      <c r="M154" s="34">
        <f>SUM(M150:M153)</f>
        <v>299265</v>
      </c>
      <c r="N154" s="33">
        <f>SUM(N149:N153)</f>
        <v>-7045</v>
      </c>
      <c r="O154" s="33">
        <f>SUM(O149:O153)</f>
        <v>-3267</v>
      </c>
      <c r="P154" s="33">
        <f>SUM(P149:P153)</f>
        <v>-66590</v>
      </c>
      <c r="Q154" s="33">
        <f>SUM(Q149:Q153)</f>
        <v>-97279</v>
      </c>
      <c r="R154" s="34">
        <f>SUM(R150:R153)</f>
        <v>-174181</v>
      </c>
      <c r="S154" s="233">
        <f>SUM(S149:S153)</f>
        <v>-1459</v>
      </c>
      <c r="T154" s="137"/>
      <c r="U154" s="137"/>
      <c r="V154" s="137"/>
      <c r="W154" s="137"/>
      <c r="X154" s="137"/>
      <c r="Y154" s="137"/>
      <c r="Z154" s="137"/>
      <c r="AA154" s="137"/>
      <c r="AB154" s="137"/>
      <c r="AC154" s="137"/>
      <c r="AD154" s="137"/>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row>
    <row r="155" spans="1:87" s="2" customFormat="1" x14ac:dyDescent="0.2">
      <c r="A155" s="221" t="s">
        <v>151</v>
      </c>
      <c r="B155" s="57">
        <v>737</v>
      </c>
      <c r="C155" s="60">
        <v>-774</v>
      </c>
      <c r="D155" s="33">
        <v>67</v>
      </c>
      <c r="E155" s="33">
        <v>-319</v>
      </c>
      <c r="F155" s="33">
        <v>-426</v>
      </c>
      <c r="G155" s="33">
        <v>1007</v>
      </c>
      <c r="H155" s="34">
        <f>SUM(D155:G155)</f>
        <v>329</v>
      </c>
      <c r="I155" s="33">
        <v>-1890</v>
      </c>
      <c r="J155" s="20">
        <v>775</v>
      </c>
      <c r="K155" s="20">
        <v>812</v>
      </c>
      <c r="L155" s="20">
        <v>2279</v>
      </c>
      <c r="M155" s="34">
        <f>SUM(I155:L155)</f>
        <v>1976</v>
      </c>
      <c r="N155" s="20">
        <v>-392</v>
      </c>
      <c r="O155" s="20">
        <v>73</v>
      </c>
      <c r="P155" s="5">
        <v>-1508</v>
      </c>
      <c r="Q155" s="5">
        <v>-155</v>
      </c>
      <c r="R155" s="34">
        <f>SUM(N155:Q155)</f>
        <v>-1982</v>
      </c>
      <c r="S155" s="227">
        <v>-157</v>
      </c>
      <c r="T155" s="137"/>
      <c r="U155" s="137"/>
      <c r="V155" s="137"/>
      <c r="W155" s="137"/>
      <c r="X155" s="137"/>
      <c r="Y155" s="137"/>
      <c r="Z155" s="137"/>
      <c r="AA155" s="137"/>
      <c r="AB155" s="137"/>
      <c r="AC155" s="137"/>
      <c r="AD155" s="137"/>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row>
    <row r="156" spans="1:87" s="2" customFormat="1" x14ac:dyDescent="0.2">
      <c r="A156" s="221" t="s">
        <v>152</v>
      </c>
      <c r="B156" s="57">
        <v>34454</v>
      </c>
      <c r="C156" s="60">
        <v>272589</v>
      </c>
      <c r="D156" s="33">
        <f t="shared" ref="D156:S156" si="81">D135+D147+D154+D155</f>
        <v>-125817</v>
      </c>
      <c r="E156" s="33">
        <f t="shared" si="81"/>
        <v>-3917</v>
      </c>
      <c r="F156" s="33">
        <f t="shared" si="81"/>
        <v>-17167</v>
      </c>
      <c r="G156" s="33">
        <f t="shared" si="81"/>
        <v>-31771</v>
      </c>
      <c r="H156" s="34">
        <f t="shared" si="81"/>
        <v>-178672</v>
      </c>
      <c r="I156" s="33">
        <f t="shared" si="81"/>
        <v>-15710</v>
      </c>
      <c r="J156" s="33">
        <f t="shared" si="81"/>
        <v>162714</v>
      </c>
      <c r="K156" s="33">
        <f t="shared" si="81"/>
        <v>-143250</v>
      </c>
      <c r="L156" s="33">
        <f t="shared" si="81"/>
        <v>-20558</v>
      </c>
      <c r="M156" s="34">
        <f t="shared" si="81"/>
        <v>-16804</v>
      </c>
      <c r="N156" s="33">
        <f t="shared" si="81"/>
        <v>-621</v>
      </c>
      <c r="O156" s="33">
        <f t="shared" si="81"/>
        <v>111551</v>
      </c>
      <c r="P156" s="33">
        <f t="shared" si="81"/>
        <v>15317</v>
      </c>
      <c r="Q156" s="33">
        <f t="shared" si="81"/>
        <v>74640</v>
      </c>
      <c r="R156" s="34">
        <f t="shared" si="81"/>
        <v>200887</v>
      </c>
      <c r="S156" s="233">
        <f t="shared" si="81"/>
        <v>32000</v>
      </c>
      <c r="T156" s="137"/>
      <c r="U156" s="137"/>
      <c r="V156" s="137"/>
      <c r="W156" s="137"/>
      <c r="X156" s="137"/>
      <c r="Y156" s="137"/>
      <c r="Z156" s="137"/>
      <c r="AA156" s="137"/>
      <c r="AB156" s="137"/>
      <c r="AC156" s="137"/>
      <c r="AD156" s="137"/>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row>
    <row r="157" spans="1:87" s="2" customFormat="1" x14ac:dyDescent="0.2">
      <c r="A157" s="221" t="s">
        <v>153</v>
      </c>
      <c r="B157" s="57">
        <v>40651</v>
      </c>
      <c r="C157" s="60">
        <v>78438</v>
      </c>
      <c r="D157" s="33">
        <f>C158</f>
        <v>351027</v>
      </c>
      <c r="E157" s="33">
        <f>D158</f>
        <v>225210</v>
      </c>
      <c r="F157" s="33">
        <f>E158</f>
        <v>221293</v>
      </c>
      <c r="G157" s="33">
        <f>F158</f>
        <v>204126</v>
      </c>
      <c r="H157" s="34">
        <f>C158</f>
        <v>351027</v>
      </c>
      <c r="I157" s="33">
        <f>H158</f>
        <v>172355</v>
      </c>
      <c r="J157" s="33">
        <f>I158</f>
        <v>156645</v>
      </c>
      <c r="K157" s="33">
        <f>J158</f>
        <v>319359</v>
      </c>
      <c r="L157" s="33">
        <f>K158</f>
        <v>176109</v>
      </c>
      <c r="M157" s="34">
        <f>H158</f>
        <v>172355</v>
      </c>
      <c r="N157" s="33">
        <f>M158</f>
        <v>155551</v>
      </c>
      <c r="O157" s="33">
        <f>N158</f>
        <v>154930</v>
      </c>
      <c r="P157" s="33">
        <f>O158</f>
        <v>266481</v>
      </c>
      <c r="Q157" s="33">
        <f>P158</f>
        <v>281798</v>
      </c>
      <c r="R157" s="34">
        <f>M158</f>
        <v>155551</v>
      </c>
      <c r="S157" s="227">
        <f>R158</f>
        <v>356438</v>
      </c>
      <c r="T157" s="137"/>
      <c r="U157" s="137"/>
      <c r="V157" s="137"/>
      <c r="W157" s="137"/>
      <c r="X157" s="137"/>
      <c r="Y157" s="137"/>
      <c r="Z157" s="137"/>
      <c r="AA157" s="137"/>
      <c r="AB157" s="137"/>
      <c r="AC157" s="137"/>
      <c r="AD157" s="137"/>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row>
    <row r="158" spans="1:87" s="6" customFormat="1" x14ac:dyDescent="0.2">
      <c r="A158" s="234" t="s">
        <v>154</v>
      </c>
      <c r="B158" s="203">
        <f>B156+B157</f>
        <v>75105</v>
      </c>
      <c r="C158" s="204">
        <v>351027</v>
      </c>
      <c r="D158" s="186">
        <f>D156+D157</f>
        <v>225210</v>
      </c>
      <c r="E158" s="186">
        <f>E156+E157</f>
        <v>221293</v>
      </c>
      <c r="F158" s="186">
        <f>F156+F157</f>
        <v>204126</v>
      </c>
      <c r="G158" s="186">
        <f>G156+G157</f>
        <v>172355</v>
      </c>
      <c r="H158" s="203">
        <f>H157+H156</f>
        <v>172355</v>
      </c>
      <c r="I158" s="186">
        <f>I156+I157</f>
        <v>156645</v>
      </c>
      <c r="J158" s="186">
        <f>J156+J157</f>
        <v>319359</v>
      </c>
      <c r="K158" s="186">
        <f>K156+K157</f>
        <v>176109</v>
      </c>
      <c r="L158" s="186">
        <f>L156+L157</f>
        <v>155551</v>
      </c>
      <c r="M158" s="203">
        <f>M157+M156</f>
        <v>155551</v>
      </c>
      <c r="N158" s="186">
        <f>N156+N157</f>
        <v>154930</v>
      </c>
      <c r="O158" s="186">
        <f>O156+O157</f>
        <v>266481</v>
      </c>
      <c r="P158" s="186">
        <f t="shared" ref="P158:Q158" si="82">P156+P157</f>
        <v>281798</v>
      </c>
      <c r="Q158" s="186">
        <f t="shared" si="82"/>
        <v>356438</v>
      </c>
      <c r="R158" s="203">
        <f>R156+R157</f>
        <v>356438</v>
      </c>
      <c r="S158" s="235">
        <f>S156+S157</f>
        <v>388438</v>
      </c>
      <c r="T158" s="137"/>
      <c r="U158" s="137"/>
      <c r="V158" s="137"/>
      <c r="W158" s="137"/>
      <c r="X158" s="137"/>
      <c r="Y158" s="137"/>
      <c r="Z158" s="137"/>
      <c r="AA158" s="137"/>
      <c r="AB158" s="137"/>
      <c r="AC158" s="137"/>
      <c r="AD158" s="137"/>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row>
    <row r="159" spans="1:87" s="42" customFormat="1" x14ac:dyDescent="0.2">
      <c r="A159" s="284" t="s">
        <v>155</v>
      </c>
      <c r="B159" s="205">
        <f t="shared" ref="B159:S159" si="83">B158-B73</f>
        <v>0</v>
      </c>
      <c r="C159" s="206">
        <f t="shared" si="83"/>
        <v>1565</v>
      </c>
      <c r="D159" s="91">
        <f t="shared" si="83"/>
        <v>1568</v>
      </c>
      <c r="E159" s="91">
        <f t="shared" si="83"/>
        <v>1573</v>
      </c>
      <c r="F159" s="91">
        <f t="shared" si="83"/>
        <v>1575</v>
      </c>
      <c r="G159" s="91">
        <f t="shared" si="83"/>
        <v>105</v>
      </c>
      <c r="H159" s="206">
        <f t="shared" si="83"/>
        <v>105</v>
      </c>
      <c r="I159" s="91">
        <f t="shared" si="83"/>
        <v>105</v>
      </c>
      <c r="J159" s="91">
        <f t="shared" si="83"/>
        <v>106</v>
      </c>
      <c r="K159" s="91">
        <f t="shared" si="83"/>
        <v>109</v>
      </c>
      <c r="L159" s="91">
        <f t="shared" si="83"/>
        <v>111</v>
      </c>
      <c r="M159" s="206">
        <f t="shared" si="83"/>
        <v>111</v>
      </c>
      <c r="N159" s="91">
        <f t="shared" si="83"/>
        <v>108</v>
      </c>
      <c r="O159" s="91">
        <f t="shared" si="83"/>
        <v>109</v>
      </c>
      <c r="P159" s="91">
        <f t="shared" si="83"/>
        <v>107</v>
      </c>
      <c r="Q159" s="91">
        <f t="shared" si="83"/>
        <v>106</v>
      </c>
      <c r="R159" s="206">
        <f t="shared" si="83"/>
        <v>106</v>
      </c>
      <c r="S159" s="285">
        <f t="shared" si="83"/>
        <v>2071</v>
      </c>
      <c r="T159" s="143"/>
      <c r="U159" s="143"/>
      <c r="V159" s="143"/>
      <c r="W159" s="143"/>
      <c r="X159" s="143"/>
      <c r="Y159" s="143"/>
      <c r="Z159" s="143"/>
      <c r="AA159" s="143"/>
      <c r="AB159" s="143"/>
      <c r="AC159" s="143"/>
      <c r="AD159" s="143"/>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row>
    <row r="160" spans="1:87" x14ac:dyDescent="0.2">
      <c r="A160" s="240"/>
      <c r="D160" s="116"/>
      <c r="E160" s="116"/>
      <c r="F160" s="116"/>
      <c r="G160" s="242"/>
      <c r="H160" s="243"/>
      <c r="I160" s="242"/>
      <c r="J160" s="242"/>
      <c r="K160" s="242"/>
      <c r="L160" s="242"/>
      <c r="M160" s="244"/>
      <c r="N160" s="242"/>
      <c r="O160" s="242"/>
      <c r="P160" s="245"/>
      <c r="Q160" s="245"/>
      <c r="R160" s="244"/>
      <c r="S160" s="246"/>
    </row>
    <row r="161" spans="1:87" x14ac:dyDescent="0.2">
      <c r="A161" s="286" t="s">
        <v>156</v>
      </c>
      <c r="D161" s="116"/>
      <c r="E161" s="116"/>
      <c r="F161" s="116"/>
      <c r="G161" s="245"/>
      <c r="H161" s="253"/>
      <c r="I161" s="245"/>
      <c r="J161" s="245"/>
      <c r="K161" s="245"/>
      <c r="L161" s="245"/>
      <c r="M161" s="253"/>
      <c r="N161" s="245"/>
      <c r="O161" s="245"/>
      <c r="P161" s="245"/>
      <c r="Q161" s="245"/>
      <c r="R161" s="253"/>
      <c r="S161" s="246"/>
    </row>
    <row r="162" spans="1:87" s="2" customFormat="1" x14ac:dyDescent="0.2">
      <c r="A162" s="221" t="s">
        <v>157</v>
      </c>
      <c r="B162" s="57">
        <v>18490</v>
      </c>
      <c r="C162" s="57">
        <v>63875</v>
      </c>
      <c r="D162" s="5">
        <v>-13970</v>
      </c>
      <c r="E162" s="5">
        <f t="shared" ref="E162:N162" si="84">E135</f>
        <v>11394</v>
      </c>
      <c r="F162" s="5">
        <f t="shared" si="84"/>
        <v>22440</v>
      </c>
      <c r="G162" s="5">
        <f t="shared" si="84"/>
        <v>45809</v>
      </c>
      <c r="H162" s="24">
        <f t="shared" si="84"/>
        <v>65673</v>
      </c>
      <c r="I162" s="5">
        <f t="shared" si="84"/>
        <v>13415</v>
      </c>
      <c r="J162" s="117">
        <f t="shared" si="84"/>
        <v>-20392</v>
      </c>
      <c r="K162" s="5">
        <f t="shared" si="84"/>
        <v>11140</v>
      </c>
      <c r="L162" s="5">
        <f t="shared" si="84"/>
        <v>34318</v>
      </c>
      <c r="M162" s="24">
        <f t="shared" si="84"/>
        <v>38481</v>
      </c>
      <c r="N162" s="5">
        <f t="shared" si="84"/>
        <v>60939</v>
      </c>
      <c r="O162" s="5">
        <v>34176</v>
      </c>
      <c r="P162" s="5">
        <v>16449</v>
      </c>
      <c r="Q162" s="5">
        <v>12930</v>
      </c>
      <c r="R162" s="24">
        <f>R135</f>
        <v>124494</v>
      </c>
      <c r="S162" s="227">
        <f>S135</f>
        <v>43964</v>
      </c>
      <c r="T162" s="137"/>
      <c r="U162" s="137"/>
      <c r="V162" s="137"/>
      <c r="W162" s="137"/>
      <c r="X162" s="137"/>
      <c r="Y162" s="137"/>
      <c r="Z162" s="137"/>
      <c r="AA162" s="137"/>
      <c r="AB162" s="137"/>
      <c r="AC162" s="137"/>
      <c r="AD162" s="137"/>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row>
    <row r="163" spans="1:87" s="2" customFormat="1" x14ac:dyDescent="0.2">
      <c r="A163" s="221" t="s">
        <v>158</v>
      </c>
      <c r="B163" s="57">
        <v>-11139</v>
      </c>
      <c r="C163" s="57">
        <v>-10419</v>
      </c>
      <c r="D163" s="5">
        <v>-5271</v>
      </c>
      <c r="E163" s="5">
        <f t="shared" ref="E163:N163" si="85">E142</f>
        <v>-2590</v>
      </c>
      <c r="F163" s="5">
        <f t="shared" si="85"/>
        <v>-4250</v>
      </c>
      <c r="G163" s="5">
        <f t="shared" si="85"/>
        <v>-3828</v>
      </c>
      <c r="H163" s="24">
        <f t="shared" si="85"/>
        <v>-15939</v>
      </c>
      <c r="I163" s="5">
        <f t="shared" si="85"/>
        <v>-2209</v>
      </c>
      <c r="J163" s="5">
        <f t="shared" si="85"/>
        <v>-5342</v>
      </c>
      <c r="K163" s="5">
        <f t="shared" si="85"/>
        <v>-58472</v>
      </c>
      <c r="L163" s="5">
        <f t="shared" si="85"/>
        <v>-6606</v>
      </c>
      <c r="M163" s="24">
        <f t="shared" si="85"/>
        <v>-72629</v>
      </c>
      <c r="N163" s="5">
        <f t="shared" si="85"/>
        <v>-10521</v>
      </c>
      <c r="O163" s="5">
        <v>-13510</v>
      </c>
      <c r="P163" s="5">
        <v>-12470</v>
      </c>
      <c r="Q163" s="5">
        <v>-13385</v>
      </c>
      <c r="R163" s="24">
        <f>R142</f>
        <v>-49886</v>
      </c>
      <c r="S163" s="227">
        <f t="shared" ref="S163" si="86">S142</f>
        <v>-17098</v>
      </c>
      <c r="T163" s="137"/>
      <c r="U163" s="137"/>
      <c r="V163" s="137"/>
      <c r="W163" s="137"/>
      <c r="X163" s="137"/>
      <c r="Y163" s="137"/>
      <c r="Z163" s="137"/>
      <c r="AA163" s="137"/>
      <c r="AB163" s="137"/>
      <c r="AC163" s="137"/>
      <c r="AD163" s="137"/>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row>
    <row r="164" spans="1:87" s="2" customFormat="1" x14ac:dyDescent="0.2">
      <c r="A164" s="221" t="s">
        <v>159</v>
      </c>
      <c r="B164" s="57">
        <v>-558</v>
      </c>
      <c r="C164" s="57">
        <v>-1024</v>
      </c>
      <c r="D164" s="5">
        <v>-162</v>
      </c>
      <c r="E164" s="5">
        <f t="shared" ref="E164:N164" si="87">E144</f>
        <v>-182</v>
      </c>
      <c r="F164" s="5">
        <f t="shared" si="87"/>
        <v>16</v>
      </c>
      <c r="G164" s="5">
        <f t="shared" si="87"/>
        <v>-76</v>
      </c>
      <c r="H164" s="24">
        <f t="shared" si="87"/>
        <v>-404</v>
      </c>
      <c r="I164" s="5">
        <f t="shared" si="87"/>
        <v>-45</v>
      </c>
      <c r="J164" s="5">
        <f t="shared" si="87"/>
        <v>-66</v>
      </c>
      <c r="K164" s="5">
        <f t="shared" si="87"/>
        <v>-66</v>
      </c>
      <c r="L164" s="5">
        <f t="shared" si="87"/>
        <v>-64</v>
      </c>
      <c r="M164" s="24">
        <f t="shared" si="87"/>
        <v>-241</v>
      </c>
      <c r="N164" s="5">
        <f t="shared" si="87"/>
        <v>-41</v>
      </c>
      <c r="O164" s="5">
        <v>-102</v>
      </c>
      <c r="P164" s="5">
        <v>-14</v>
      </c>
      <c r="Q164" s="5">
        <v>-235</v>
      </c>
      <c r="R164" s="24">
        <f>R144</f>
        <v>-392</v>
      </c>
      <c r="S164" s="227">
        <f t="shared" ref="S164" si="88">S144</f>
        <v>-37</v>
      </c>
      <c r="T164" s="137"/>
      <c r="U164" s="137"/>
      <c r="V164" s="137"/>
      <c r="W164" s="137"/>
      <c r="X164" s="137"/>
      <c r="Y164" s="137"/>
      <c r="Z164" s="137"/>
      <c r="AA164" s="137"/>
      <c r="AB164" s="137"/>
      <c r="AC164" s="137"/>
      <c r="AD164" s="137"/>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row>
    <row r="165" spans="1:87" s="6" customFormat="1" ht="17" x14ac:dyDescent="0.2">
      <c r="A165" s="287" t="s">
        <v>212</v>
      </c>
      <c r="B165" s="193">
        <f t="shared" ref="B165:F165" si="89">SUM(B162:B164)</f>
        <v>6793</v>
      </c>
      <c r="C165" s="193">
        <f t="shared" si="89"/>
        <v>52432</v>
      </c>
      <c r="D165" s="6">
        <f t="shared" si="89"/>
        <v>-19403</v>
      </c>
      <c r="E165" s="6">
        <f t="shared" si="89"/>
        <v>8622</v>
      </c>
      <c r="F165" s="6">
        <f t="shared" si="89"/>
        <v>18206</v>
      </c>
      <c r="G165" s="6">
        <f t="shared" ref="G165:M165" si="90">SUM(G162:G164)</f>
        <v>41905</v>
      </c>
      <c r="H165" s="194">
        <f t="shared" si="90"/>
        <v>49330</v>
      </c>
      <c r="I165" s="6">
        <f t="shared" si="90"/>
        <v>11161</v>
      </c>
      <c r="J165" s="6">
        <f t="shared" si="90"/>
        <v>-25800</v>
      </c>
      <c r="K165" s="6">
        <f t="shared" si="90"/>
        <v>-47398</v>
      </c>
      <c r="L165" s="6">
        <f t="shared" si="90"/>
        <v>27648</v>
      </c>
      <c r="M165" s="194">
        <f t="shared" si="90"/>
        <v>-34389</v>
      </c>
      <c r="N165" s="6">
        <f t="shared" ref="N165:S165" si="91">SUM(N162:N164)</f>
        <v>50377</v>
      </c>
      <c r="O165" s="6">
        <f t="shared" si="91"/>
        <v>20564</v>
      </c>
      <c r="P165" s="6">
        <f t="shared" si="91"/>
        <v>3965</v>
      </c>
      <c r="Q165" s="6">
        <f t="shared" si="91"/>
        <v>-690</v>
      </c>
      <c r="R165" s="194">
        <f>SUM(R162:R164)</f>
        <v>74216</v>
      </c>
      <c r="S165" s="288">
        <f t="shared" si="91"/>
        <v>26829</v>
      </c>
      <c r="T165" s="137"/>
      <c r="U165" s="137"/>
      <c r="V165" s="137"/>
      <c r="W165" s="137"/>
      <c r="X165" s="137"/>
      <c r="Y165" s="137"/>
      <c r="Z165" s="137"/>
      <c r="AA165" s="137"/>
      <c r="AB165" s="137"/>
      <c r="AC165" s="137"/>
      <c r="AD165" s="137"/>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row>
    <row r="166" spans="1:87" s="2" customFormat="1" x14ac:dyDescent="0.2">
      <c r="A166" s="221" t="s">
        <v>160</v>
      </c>
      <c r="B166" s="57"/>
      <c r="C166" s="57"/>
      <c r="D166" s="5"/>
      <c r="E166" s="5"/>
      <c r="F166" s="5"/>
      <c r="G166" s="5"/>
      <c r="H166" s="24"/>
      <c r="I166" s="5">
        <v>0</v>
      </c>
      <c r="J166" s="5">
        <v>0</v>
      </c>
      <c r="K166" s="5">
        <v>54152</v>
      </c>
      <c r="L166" s="5">
        <v>0</v>
      </c>
      <c r="M166" s="24">
        <f>SUM(I166:L166)</f>
        <v>54152</v>
      </c>
      <c r="N166" s="5">
        <v>908</v>
      </c>
      <c r="O166" s="5">
        <v>2871</v>
      </c>
      <c r="P166" s="5">
        <v>3128</v>
      </c>
      <c r="Q166" s="5">
        <v>3391</v>
      </c>
      <c r="R166" s="24">
        <f>SUM(N166:Q166)</f>
        <v>10298</v>
      </c>
      <c r="S166" s="227">
        <v>5217</v>
      </c>
      <c r="T166" s="137"/>
      <c r="U166" s="137"/>
      <c r="V166" s="137"/>
      <c r="W166" s="137"/>
      <c r="X166" s="137"/>
      <c r="Y166" s="137"/>
      <c r="Z166" s="137"/>
      <c r="AA166" s="137"/>
      <c r="AB166" s="137"/>
      <c r="AC166" s="137"/>
      <c r="AD166" s="137"/>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row>
    <row r="167" spans="1:87" s="6" customFormat="1" ht="17" x14ac:dyDescent="0.2">
      <c r="A167" s="287" t="s">
        <v>213</v>
      </c>
      <c r="B167" s="193"/>
      <c r="C167" s="193"/>
      <c r="H167" s="194"/>
      <c r="M167" s="194"/>
      <c r="N167" s="6">
        <f>N165+N166</f>
        <v>51285</v>
      </c>
      <c r="O167" s="6">
        <f t="shared" ref="O167:Q167" si="92">O165+O166</f>
        <v>23435</v>
      </c>
      <c r="P167" s="6">
        <f t="shared" si="92"/>
        <v>7093</v>
      </c>
      <c r="Q167" s="6">
        <f t="shared" si="92"/>
        <v>2701</v>
      </c>
      <c r="R167" s="194">
        <f>SUM(N167:Q167)</f>
        <v>84514</v>
      </c>
      <c r="S167" s="288">
        <f>S165+S166</f>
        <v>32046</v>
      </c>
      <c r="T167" s="137"/>
      <c r="U167" s="137"/>
      <c r="V167" s="137"/>
      <c r="W167" s="137"/>
      <c r="X167" s="137"/>
      <c r="Y167" s="137"/>
      <c r="Z167" s="137"/>
      <c r="AA167" s="137"/>
      <c r="AB167" s="137"/>
      <c r="AC167" s="137"/>
      <c r="AD167" s="137"/>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row>
    <row r="168" spans="1:87" x14ac:dyDescent="0.2">
      <c r="A168" s="240"/>
      <c r="D168" s="116"/>
      <c r="E168" s="116"/>
      <c r="F168" s="116"/>
      <c r="G168" s="242"/>
      <c r="H168" s="243"/>
      <c r="I168" s="242"/>
      <c r="J168" s="242"/>
      <c r="K168" s="242"/>
      <c r="L168" s="242"/>
      <c r="M168" s="244"/>
      <c r="N168" s="242"/>
      <c r="O168" s="242"/>
      <c r="P168" s="245"/>
      <c r="Q168" s="245"/>
      <c r="R168" s="244"/>
      <c r="S168" s="246"/>
    </row>
    <row r="169" spans="1:87" s="46" customFormat="1" ht="36.5" customHeight="1" x14ac:dyDescent="0.35">
      <c r="A169" s="216" t="s">
        <v>161</v>
      </c>
      <c r="B169" s="77"/>
      <c r="C169" s="77"/>
      <c r="D169" s="289"/>
      <c r="E169" s="289"/>
      <c r="F169" s="289"/>
      <c r="G169" s="289"/>
      <c r="H169" s="289"/>
      <c r="I169" s="289"/>
      <c r="J169" s="289"/>
      <c r="K169" s="289"/>
      <c r="L169" s="289"/>
      <c r="M169" s="289"/>
      <c r="N169" s="289"/>
      <c r="O169" s="289"/>
      <c r="P169" s="289"/>
      <c r="Q169" s="289"/>
      <c r="R169" s="289"/>
      <c r="S169" s="290"/>
      <c r="T169" s="156"/>
      <c r="U169" s="156"/>
      <c r="V169" s="156"/>
      <c r="W169" s="156"/>
      <c r="X169" s="156"/>
      <c r="Y169" s="156"/>
      <c r="Z169" s="156"/>
      <c r="AA169" s="156"/>
      <c r="AB169" s="156"/>
      <c r="AC169" s="156"/>
      <c r="AD169" s="156"/>
      <c r="AE169" s="157"/>
      <c r="AF169" s="157"/>
      <c r="AG169" s="157"/>
      <c r="AH169" s="157"/>
      <c r="AI169" s="157"/>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row>
    <row r="170" spans="1:87" s="2" customFormat="1" x14ac:dyDescent="0.2">
      <c r="A170" s="221" t="s">
        <v>162</v>
      </c>
      <c r="B170" s="57">
        <v>282810</v>
      </c>
      <c r="C170" s="57">
        <v>335310</v>
      </c>
      <c r="D170" s="33">
        <v>94333</v>
      </c>
      <c r="E170" s="33">
        <v>93594</v>
      </c>
      <c r="F170" s="33">
        <v>110809</v>
      </c>
      <c r="G170" s="33">
        <f>446100-F170-E170-D170</f>
        <v>147364</v>
      </c>
      <c r="H170" s="24">
        <f>SUM(D170:G170)</f>
        <v>446100</v>
      </c>
      <c r="I170" s="33">
        <v>117463</v>
      </c>
      <c r="J170" s="20">
        <f>J172-J171</f>
        <v>107559</v>
      </c>
      <c r="K170" s="20">
        <v>143380</v>
      </c>
      <c r="L170" s="20">
        <f>M170-K170-J170-I170</f>
        <v>166677</v>
      </c>
      <c r="M170" s="24">
        <v>535079</v>
      </c>
      <c r="N170" s="20">
        <v>160386</v>
      </c>
      <c r="O170" s="20">
        <v>164908</v>
      </c>
      <c r="P170" s="5">
        <v>192756</v>
      </c>
      <c r="Q170" s="5">
        <v>168864</v>
      </c>
      <c r="R170" s="24">
        <v>686914</v>
      </c>
      <c r="S170" s="227">
        <v>214214</v>
      </c>
      <c r="T170" s="137"/>
      <c r="U170" s="137"/>
      <c r="V170" s="137"/>
      <c r="W170" s="137"/>
      <c r="X170" s="137"/>
      <c r="Y170" s="137"/>
      <c r="Z170" s="137"/>
      <c r="AA170" s="137"/>
      <c r="AB170" s="137"/>
      <c r="AC170" s="137"/>
      <c r="AD170" s="137"/>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row>
    <row r="171" spans="1:87" s="3" customFormat="1" x14ac:dyDescent="0.2">
      <c r="A171" s="225" t="s">
        <v>163</v>
      </c>
      <c r="B171" s="59">
        <v>60988</v>
      </c>
      <c r="C171" s="59">
        <v>84758</v>
      </c>
      <c r="D171" s="31">
        <v>21477</v>
      </c>
      <c r="E171" s="31">
        <v>18768</v>
      </c>
      <c r="F171" s="31">
        <v>20028</v>
      </c>
      <c r="G171" s="31">
        <f>84760-F171-E171-D171</f>
        <v>24487</v>
      </c>
      <c r="H171" s="23">
        <f>SUM(D171:G171)</f>
        <v>84760</v>
      </c>
      <c r="I171" s="31">
        <v>29699</v>
      </c>
      <c r="J171" s="21">
        <v>33700</v>
      </c>
      <c r="K171" s="21">
        <v>23062</v>
      </c>
      <c r="L171" s="21">
        <f>M171-K171-J171-I171</f>
        <v>59463</v>
      </c>
      <c r="M171" s="23">
        <v>145924</v>
      </c>
      <c r="N171" s="21">
        <v>34633</v>
      </c>
      <c r="O171" s="21">
        <v>53887</v>
      </c>
      <c r="P171" s="3">
        <v>39233</v>
      </c>
      <c r="Q171" s="5">
        <v>48714</v>
      </c>
      <c r="R171" s="23">
        <v>176467</v>
      </c>
      <c r="S171" s="226">
        <v>42212</v>
      </c>
      <c r="T171" s="137"/>
      <c r="U171" s="137"/>
      <c r="V171" s="137"/>
      <c r="W171" s="137"/>
      <c r="X171" s="137"/>
      <c r="Y171" s="137"/>
      <c r="Z171" s="137"/>
      <c r="AA171" s="137"/>
      <c r="AB171" s="137"/>
      <c r="AC171" s="137"/>
      <c r="AD171" s="137"/>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row>
    <row r="172" spans="1:87" s="2" customFormat="1" x14ac:dyDescent="0.2">
      <c r="A172" s="221" t="s">
        <v>164</v>
      </c>
      <c r="B172" s="57">
        <v>343798</v>
      </c>
      <c r="C172" s="57">
        <v>420068</v>
      </c>
      <c r="D172" s="117">
        <f t="shared" ref="D172:E172" si="93">SUM(D170:D171)</f>
        <v>115810</v>
      </c>
      <c r="E172" s="106">
        <f t="shared" si="93"/>
        <v>112362</v>
      </c>
      <c r="F172" s="106">
        <f>F170+F171</f>
        <v>130837</v>
      </c>
      <c r="G172" s="33">
        <f>SUM(G170:G171)</f>
        <v>171851</v>
      </c>
      <c r="H172" s="24">
        <f t="shared" ref="H172" si="94">SUM(H170:H171)</f>
        <v>530860</v>
      </c>
      <c r="I172" s="33">
        <f>I5</f>
        <v>147162</v>
      </c>
      <c r="J172" s="33">
        <f>J5</f>
        <v>141259</v>
      </c>
      <c r="K172" s="33">
        <f>K5</f>
        <v>166442</v>
      </c>
      <c r="L172" s="20">
        <f>L5</f>
        <v>226140</v>
      </c>
      <c r="M172" s="24">
        <f t="shared" ref="M172" si="95">SUM(M170:M171)</f>
        <v>681003</v>
      </c>
      <c r="N172" s="33">
        <f>N5</f>
        <v>195019</v>
      </c>
      <c r="O172" s="33">
        <f>O5</f>
        <v>218795</v>
      </c>
      <c r="P172" s="33">
        <f>P5</f>
        <v>231989</v>
      </c>
      <c r="Q172" s="83">
        <f>Q5</f>
        <v>217578</v>
      </c>
      <c r="R172" s="24">
        <f>SUM(R170:R171)</f>
        <v>863381</v>
      </c>
      <c r="S172" s="279">
        <f>S5</f>
        <v>256426</v>
      </c>
      <c r="T172" s="137"/>
      <c r="U172" s="137"/>
      <c r="V172" s="137"/>
      <c r="W172" s="137"/>
      <c r="X172" s="137"/>
      <c r="Y172" s="137"/>
      <c r="Z172" s="137"/>
      <c r="AA172" s="137"/>
      <c r="AB172" s="137"/>
      <c r="AC172" s="137"/>
      <c r="AD172" s="137"/>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row>
    <row r="173" spans="1:87" s="11" customFormat="1" x14ac:dyDescent="0.2">
      <c r="A173" s="231"/>
      <c r="B173" s="62"/>
      <c r="C173" s="62"/>
      <c r="D173" s="119"/>
      <c r="E173" s="118"/>
      <c r="F173" s="118"/>
      <c r="G173" s="118"/>
      <c r="H173" s="120"/>
      <c r="I173" s="118"/>
      <c r="J173" s="118"/>
      <c r="K173" s="118"/>
      <c r="L173" s="118"/>
      <c r="M173" s="120"/>
      <c r="N173" s="118"/>
      <c r="O173" s="118"/>
      <c r="P173" s="18"/>
      <c r="Q173" s="18"/>
      <c r="R173" s="120"/>
      <c r="S173" s="291"/>
      <c r="T173" s="143"/>
      <c r="U173" s="143"/>
      <c r="V173" s="143"/>
      <c r="W173" s="143"/>
      <c r="X173" s="143"/>
      <c r="Y173" s="143"/>
      <c r="Z173" s="143"/>
      <c r="AA173" s="143"/>
      <c r="AB173" s="143"/>
      <c r="AC173" s="143"/>
      <c r="AD173" s="143"/>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44"/>
      <c r="BZ173" s="144"/>
      <c r="CA173" s="144"/>
      <c r="CB173" s="144"/>
      <c r="CC173" s="144"/>
      <c r="CD173" s="144"/>
      <c r="CE173" s="144"/>
      <c r="CF173" s="144"/>
      <c r="CG173" s="144"/>
      <c r="CH173" s="144"/>
      <c r="CI173" s="144"/>
    </row>
    <row r="174" spans="1:87" s="11" customFormat="1" x14ac:dyDescent="0.2">
      <c r="A174" s="231"/>
      <c r="B174" s="62"/>
      <c r="C174" s="62"/>
      <c r="D174" s="119"/>
      <c r="E174" s="118"/>
      <c r="F174" s="118"/>
      <c r="G174" s="121"/>
      <c r="H174" s="122"/>
      <c r="I174" s="118"/>
      <c r="J174" s="118"/>
      <c r="K174" s="118"/>
      <c r="L174" s="118"/>
      <c r="M174" s="123"/>
      <c r="N174" s="118"/>
      <c r="O174" s="118"/>
      <c r="P174" s="18"/>
      <c r="Q174" s="18"/>
      <c r="R174" s="123"/>
      <c r="S174" s="291"/>
      <c r="T174" s="143"/>
      <c r="U174" s="143"/>
      <c r="V174" s="143"/>
      <c r="W174" s="143"/>
      <c r="X174" s="143"/>
      <c r="Y174" s="143"/>
      <c r="Z174" s="143"/>
      <c r="AA174" s="143"/>
      <c r="AB174" s="143"/>
      <c r="AC174" s="143"/>
      <c r="AD174" s="143"/>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row>
    <row r="175" spans="1:87" s="45" customFormat="1" ht="37" customHeight="1" x14ac:dyDescent="0.25">
      <c r="A175" s="216" t="s">
        <v>165</v>
      </c>
      <c r="B175" s="78"/>
      <c r="C175" s="78"/>
      <c r="D175" s="124"/>
      <c r="E175" s="124"/>
      <c r="F175" s="292"/>
      <c r="G175" s="292"/>
      <c r="H175" s="124"/>
      <c r="I175" s="124"/>
      <c r="J175" s="124"/>
      <c r="K175" s="124"/>
      <c r="L175" s="124"/>
      <c r="M175" s="124"/>
      <c r="N175" s="124"/>
      <c r="O175" s="124"/>
      <c r="P175" s="292"/>
      <c r="Q175" s="292"/>
      <c r="R175" s="124"/>
      <c r="S175" s="293"/>
      <c r="T175" s="158"/>
      <c r="U175" s="158"/>
      <c r="V175" s="158"/>
      <c r="W175" s="158"/>
      <c r="X175" s="158"/>
      <c r="Y175" s="158"/>
      <c r="Z175" s="158"/>
      <c r="AA175" s="158"/>
      <c r="AB175" s="158"/>
      <c r="AC175" s="158"/>
      <c r="AD175" s="158"/>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c r="CF175" s="159"/>
      <c r="CG175" s="159"/>
      <c r="CH175" s="159"/>
      <c r="CI175" s="159"/>
    </row>
    <row r="176" spans="1:87" s="2" customFormat="1" ht="17" x14ac:dyDescent="0.2">
      <c r="A176" s="294" t="s">
        <v>214</v>
      </c>
      <c r="B176" s="164"/>
      <c r="C176" s="57"/>
      <c r="D176" s="33">
        <v>122275.709</v>
      </c>
      <c r="E176" s="33">
        <v>129452</v>
      </c>
      <c r="F176" s="33">
        <v>141540</v>
      </c>
      <c r="G176" s="33">
        <v>161277</v>
      </c>
      <c r="H176" s="51"/>
      <c r="I176" s="295">
        <v>173919</v>
      </c>
      <c r="J176" s="33">
        <v>183498</v>
      </c>
      <c r="K176" s="20">
        <v>203815</v>
      </c>
      <c r="L176" s="20">
        <v>221263</v>
      </c>
      <c r="M176" s="34"/>
      <c r="N176" s="20">
        <v>242357</v>
      </c>
      <c r="O176" s="20">
        <v>260178</v>
      </c>
      <c r="P176" s="20">
        <v>288691</v>
      </c>
      <c r="Q176" s="20">
        <v>327490</v>
      </c>
      <c r="R176" s="34"/>
      <c r="S176" s="222">
        <v>347613</v>
      </c>
      <c r="T176" s="137"/>
      <c r="U176" s="137"/>
      <c r="V176" s="137"/>
      <c r="W176" s="137"/>
      <c r="X176" s="137"/>
      <c r="Y176" s="137"/>
      <c r="Z176" s="137"/>
      <c r="AA176" s="137"/>
      <c r="AB176" s="137"/>
      <c r="AC176" s="137"/>
      <c r="AD176" s="137"/>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row>
    <row r="177" spans="1:87" s="2" customFormat="1" ht="17" x14ac:dyDescent="0.2">
      <c r="A177" s="294" t="s">
        <v>215</v>
      </c>
      <c r="B177" s="164"/>
      <c r="C177" s="57"/>
      <c r="D177" s="33">
        <v>930000</v>
      </c>
      <c r="E177" s="33">
        <v>1050000</v>
      </c>
      <c r="F177" s="33">
        <v>1130000</v>
      </c>
      <c r="G177" s="33">
        <v>1230000</v>
      </c>
      <c r="H177" s="51"/>
      <c r="I177" s="33">
        <v>1274000</v>
      </c>
      <c r="J177" s="33">
        <v>1340000</v>
      </c>
      <c r="K177" s="20">
        <v>1510000</v>
      </c>
      <c r="L177" s="20">
        <v>1730000</v>
      </c>
      <c r="M177" s="34"/>
      <c r="N177" s="33">
        <v>1790000</v>
      </c>
      <c r="O177" s="33">
        <v>2040000</v>
      </c>
      <c r="P177" s="33">
        <v>2390000</v>
      </c>
      <c r="Q177" s="33">
        <v>2800000</v>
      </c>
      <c r="R177" s="34"/>
      <c r="S177" s="233">
        <v>2970000</v>
      </c>
      <c r="T177" s="137"/>
      <c r="U177" s="137"/>
      <c r="V177" s="137"/>
      <c r="W177" s="137"/>
      <c r="X177" s="137"/>
      <c r="Y177" s="137"/>
      <c r="Z177" s="137"/>
      <c r="AA177" s="137"/>
      <c r="AB177" s="137"/>
      <c r="AC177" s="137"/>
      <c r="AD177" s="137"/>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row>
    <row r="178" spans="1:87" s="15" customFormat="1" ht="17" x14ac:dyDescent="0.2">
      <c r="A178" s="296" t="s">
        <v>216</v>
      </c>
      <c r="B178" s="165"/>
      <c r="C178" s="65"/>
      <c r="D178" s="191"/>
      <c r="E178" s="191"/>
      <c r="F178" s="191"/>
      <c r="G178" s="132">
        <v>1.21</v>
      </c>
      <c r="H178" s="125"/>
      <c r="I178" s="132">
        <v>1.19</v>
      </c>
      <c r="J178" s="132">
        <v>1.19</v>
      </c>
      <c r="K178" s="132">
        <v>1.2</v>
      </c>
      <c r="L178" s="192">
        <v>1.19</v>
      </c>
      <c r="M178" s="125"/>
      <c r="N178" s="132">
        <v>1.19</v>
      </c>
      <c r="O178" s="132">
        <v>1.19</v>
      </c>
      <c r="P178" s="132">
        <v>1.19</v>
      </c>
      <c r="Q178" s="132">
        <v>1.19</v>
      </c>
      <c r="R178" s="125"/>
      <c r="S178" s="297">
        <v>1.19</v>
      </c>
      <c r="T178" s="139"/>
      <c r="U178" s="139"/>
      <c r="V178" s="139"/>
      <c r="W178" s="139"/>
      <c r="X178" s="139"/>
      <c r="Y178" s="139"/>
      <c r="Z178" s="139"/>
      <c r="AA178" s="139"/>
      <c r="AB178" s="139"/>
      <c r="AC178" s="139"/>
      <c r="AD178" s="139"/>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row>
    <row r="179" spans="1:87" x14ac:dyDescent="0.2">
      <c r="A179" s="240" t="s">
        <v>166</v>
      </c>
      <c r="B179" s="166"/>
      <c r="D179" s="298">
        <v>0.42</v>
      </c>
      <c r="E179" s="298">
        <v>0.6</v>
      </c>
      <c r="F179" s="298">
        <v>0.55000000000000004</v>
      </c>
      <c r="G179" s="298">
        <v>0.57999999999999996</v>
      </c>
      <c r="H179" s="244"/>
      <c r="I179" s="298">
        <v>0.43</v>
      </c>
      <c r="J179" s="298">
        <v>0.46</v>
      </c>
      <c r="K179" s="299">
        <v>0.75</v>
      </c>
      <c r="L179" s="299">
        <v>0.53</v>
      </c>
      <c r="M179" s="244"/>
      <c r="N179" s="298">
        <v>0.64</v>
      </c>
      <c r="O179" s="298">
        <v>0.55000000000000004</v>
      </c>
      <c r="P179" s="298">
        <v>0.57999999999999996</v>
      </c>
      <c r="Q179" s="298">
        <v>0.65</v>
      </c>
      <c r="R179" s="244"/>
      <c r="S179" s="300">
        <v>0.45</v>
      </c>
    </row>
    <row r="180" spans="1:87" x14ac:dyDescent="0.2">
      <c r="A180" s="240"/>
      <c r="D180" s="249"/>
      <c r="E180" s="242"/>
      <c r="F180" s="242"/>
      <c r="G180" s="242"/>
      <c r="H180" s="243"/>
      <c r="I180" s="242"/>
      <c r="J180" s="242"/>
      <c r="K180" s="242"/>
      <c r="L180" s="242"/>
      <c r="M180" s="244"/>
      <c r="N180" s="242"/>
      <c r="O180" s="242"/>
      <c r="P180" s="245"/>
      <c r="Q180" s="245"/>
      <c r="R180" s="244"/>
      <c r="S180" s="246"/>
    </row>
    <row r="181" spans="1:87" s="43" customFormat="1" ht="37" customHeight="1" x14ac:dyDescent="0.25">
      <c r="A181" s="216" t="s">
        <v>167</v>
      </c>
      <c r="B181" s="79"/>
      <c r="C181" s="79"/>
      <c r="D181" s="301"/>
      <c r="E181" s="301"/>
      <c r="F181" s="301"/>
      <c r="G181" s="301"/>
      <c r="H181" s="301"/>
      <c r="I181" s="301"/>
      <c r="J181" s="301"/>
      <c r="K181" s="301"/>
      <c r="L181" s="301"/>
      <c r="M181" s="301"/>
      <c r="N181" s="301"/>
      <c r="O181" s="301"/>
      <c r="P181" s="301"/>
      <c r="Q181" s="301"/>
      <c r="R181" s="301"/>
      <c r="S181" s="302"/>
      <c r="T181" s="133"/>
      <c r="U181" s="133"/>
      <c r="V181" s="133"/>
      <c r="W181" s="133"/>
      <c r="X181" s="133"/>
      <c r="Y181" s="133"/>
      <c r="Z181" s="133"/>
      <c r="AA181" s="133"/>
      <c r="AB181" s="133"/>
      <c r="AC181" s="133"/>
      <c r="AD181" s="133"/>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c r="BB181" s="161"/>
      <c r="BC181" s="161"/>
      <c r="BD181" s="161"/>
      <c r="BE181" s="161"/>
      <c r="BF181" s="161"/>
      <c r="BG181" s="161"/>
      <c r="BH181" s="161"/>
      <c r="BI181" s="161"/>
      <c r="BJ181" s="161"/>
      <c r="BK181" s="161"/>
      <c r="BL181" s="161"/>
      <c r="BM181" s="161"/>
      <c r="BN181" s="161"/>
      <c r="BO181" s="161"/>
      <c r="BP181" s="161"/>
      <c r="BQ181" s="161"/>
      <c r="BR181" s="161"/>
      <c r="BS181" s="161"/>
      <c r="BT181" s="161"/>
      <c r="BU181" s="161"/>
      <c r="BV181" s="161"/>
      <c r="BW181" s="161"/>
      <c r="BX181" s="161"/>
      <c r="BY181" s="161"/>
      <c r="BZ181" s="161"/>
      <c r="CA181" s="161"/>
      <c r="CB181" s="161"/>
      <c r="CC181" s="161"/>
      <c r="CD181" s="161"/>
      <c r="CE181" s="161"/>
      <c r="CF181" s="161"/>
      <c r="CG181" s="161"/>
      <c r="CH181" s="161"/>
      <c r="CI181" s="161"/>
    </row>
    <row r="182" spans="1:87" s="2" customFormat="1" x14ac:dyDescent="0.2">
      <c r="A182" s="303" t="s">
        <v>168</v>
      </c>
      <c r="B182" s="63"/>
      <c r="C182" s="63"/>
      <c r="D182" s="126"/>
      <c r="E182" s="127"/>
      <c r="F182" s="127"/>
      <c r="G182" s="127"/>
      <c r="H182" s="128"/>
      <c r="I182" s="129"/>
      <c r="J182" s="129"/>
      <c r="K182" s="129"/>
      <c r="L182" s="129"/>
      <c r="M182" s="130"/>
      <c r="N182" s="129"/>
      <c r="O182" s="129"/>
      <c r="P182" s="5"/>
      <c r="Q182" s="5"/>
      <c r="R182" s="130"/>
      <c r="S182" s="227"/>
      <c r="T182" s="137"/>
      <c r="U182" s="137"/>
      <c r="V182" s="137"/>
      <c r="W182" s="137"/>
      <c r="X182" s="137"/>
      <c r="Y182" s="137"/>
      <c r="Z182" s="137"/>
      <c r="AA182" s="137"/>
      <c r="AB182" s="137"/>
      <c r="AC182" s="137"/>
      <c r="AD182" s="137"/>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row>
    <row r="183" spans="1:87" s="2" customFormat="1" x14ac:dyDescent="0.2">
      <c r="A183" s="221" t="s">
        <v>169</v>
      </c>
      <c r="B183" s="60">
        <v>234512</v>
      </c>
      <c r="C183" s="60">
        <v>253115</v>
      </c>
      <c r="D183" s="33">
        <v>65301</v>
      </c>
      <c r="E183" s="33">
        <v>60423</v>
      </c>
      <c r="F183" s="33">
        <v>71424</v>
      </c>
      <c r="G183" s="33">
        <v>83406</v>
      </c>
      <c r="H183" s="34">
        <f>SUM(D183:G183)</f>
        <v>280554</v>
      </c>
      <c r="I183" s="33">
        <v>75175</v>
      </c>
      <c r="J183" s="33">
        <v>69877</v>
      </c>
      <c r="K183" s="20">
        <v>83517</v>
      </c>
      <c r="L183" s="20">
        <v>134080</v>
      </c>
      <c r="M183" s="34">
        <f>SUM(I183:L183)</f>
        <v>362649</v>
      </c>
      <c r="N183" s="33">
        <v>97302</v>
      </c>
      <c r="O183" s="33">
        <v>110637</v>
      </c>
      <c r="P183" s="5">
        <v>118569</v>
      </c>
      <c r="Q183" s="5">
        <v>100408</v>
      </c>
      <c r="R183" s="34">
        <f>SUM(N183:Q183)</f>
        <v>426916</v>
      </c>
      <c r="S183" s="227">
        <v>111154</v>
      </c>
      <c r="T183" s="137"/>
      <c r="U183" s="137"/>
      <c r="V183" s="137"/>
      <c r="W183" s="137"/>
      <c r="X183" s="137"/>
      <c r="Y183" s="137"/>
      <c r="Z183" s="137"/>
      <c r="AA183" s="137"/>
      <c r="AB183" s="137"/>
      <c r="AC183" s="137"/>
      <c r="AD183" s="137"/>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row>
    <row r="184" spans="1:87" s="3" customFormat="1" x14ac:dyDescent="0.2">
      <c r="A184" s="225" t="s">
        <v>170</v>
      </c>
      <c r="B184" s="59">
        <v>0</v>
      </c>
      <c r="C184" s="59"/>
      <c r="D184" s="31">
        <v>90</v>
      </c>
      <c r="E184" s="31">
        <v>149</v>
      </c>
      <c r="F184" s="31">
        <v>319</v>
      </c>
      <c r="G184" s="31">
        <v>549</v>
      </c>
      <c r="H184" s="23">
        <f>SUM(D184:G184)</f>
        <v>1107</v>
      </c>
      <c r="I184" s="31">
        <v>720</v>
      </c>
      <c r="J184" s="31">
        <v>613</v>
      </c>
      <c r="K184" s="21">
        <v>889</v>
      </c>
      <c r="L184" s="21">
        <v>1681</v>
      </c>
      <c r="M184" s="23">
        <f>SUM(I184:L184)</f>
        <v>3903</v>
      </c>
      <c r="N184" s="31">
        <v>1697</v>
      </c>
      <c r="O184" s="31">
        <v>1891</v>
      </c>
      <c r="P184" s="3">
        <v>2922</v>
      </c>
      <c r="Q184" s="3">
        <v>3501</v>
      </c>
      <c r="R184" s="23">
        <f>SUM(N184:Q184)</f>
        <v>10011</v>
      </c>
      <c r="S184" s="226">
        <v>3206</v>
      </c>
      <c r="T184" s="137"/>
      <c r="U184" s="137"/>
      <c r="V184" s="137"/>
      <c r="W184" s="137"/>
      <c r="X184" s="137"/>
      <c r="Y184" s="137"/>
      <c r="Z184" s="137"/>
      <c r="AA184" s="137"/>
      <c r="AB184" s="137"/>
      <c r="AC184" s="137"/>
      <c r="AD184" s="137"/>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row>
    <row r="185" spans="1:87" s="12" customFormat="1" x14ac:dyDescent="0.2">
      <c r="A185" s="304" t="s">
        <v>20</v>
      </c>
      <c r="B185" s="80">
        <v>234512</v>
      </c>
      <c r="C185" s="80">
        <v>253115</v>
      </c>
      <c r="D185" s="32">
        <f>SUM(D183:D184)</f>
        <v>65391</v>
      </c>
      <c r="E185" s="32">
        <f>SUM(E183:E184)</f>
        <v>60572</v>
      </c>
      <c r="F185" s="36">
        <f>SUM(F183:F184)</f>
        <v>71743</v>
      </c>
      <c r="G185" s="36">
        <f>SUM(G183:G184)</f>
        <v>83955</v>
      </c>
      <c r="H185" s="25">
        <f>SUM(D185:G185)</f>
        <v>281661</v>
      </c>
      <c r="I185" s="32">
        <f>SUM(I183:I184)</f>
        <v>75895</v>
      </c>
      <c r="J185" s="32">
        <f>SUM(J183:J184)</f>
        <v>70490</v>
      </c>
      <c r="K185" s="36">
        <f>SUM(K183:K184)</f>
        <v>84406</v>
      </c>
      <c r="L185" s="36">
        <f>SUM(L183:L184)</f>
        <v>135761</v>
      </c>
      <c r="M185" s="25">
        <f>SUM(I185:L185)</f>
        <v>366552</v>
      </c>
      <c r="N185" s="32">
        <f>SUM(N183:N184)</f>
        <v>98999</v>
      </c>
      <c r="O185" s="32">
        <f t="shared" ref="O185:Q185" si="96">SUM(O183:O184)</f>
        <v>112528</v>
      </c>
      <c r="P185" s="32">
        <f t="shared" si="96"/>
        <v>121491</v>
      </c>
      <c r="Q185" s="32">
        <f t="shared" si="96"/>
        <v>103909</v>
      </c>
      <c r="R185" s="25">
        <f>SUM(N185:Q185)</f>
        <v>436927</v>
      </c>
      <c r="S185" s="305">
        <f>SUM(S183:S184)</f>
        <v>114360</v>
      </c>
      <c r="T185" s="137"/>
      <c r="U185" s="137"/>
      <c r="V185" s="137"/>
      <c r="W185" s="137"/>
      <c r="X185" s="137"/>
      <c r="Y185" s="137"/>
      <c r="Z185" s="137"/>
      <c r="AA185" s="137"/>
      <c r="AB185" s="137"/>
      <c r="AC185" s="137"/>
      <c r="AD185" s="137"/>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row>
    <row r="186" spans="1:87" s="2" customFormat="1" x14ac:dyDescent="0.2">
      <c r="A186" s="221" t="s">
        <v>171</v>
      </c>
      <c r="B186" s="57">
        <v>72054</v>
      </c>
      <c r="C186" s="57">
        <v>80354</v>
      </c>
      <c r="D186" s="33">
        <v>23278</v>
      </c>
      <c r="E186" s="33">
        <v>24262</v>
      </c>
      <c r="F186" s="33">
        <v>26504</v>
      </c>
      <c r="G186" s="33">
        <v>33144</v>
      </c>
      <c r="H186" s="24">
        <f>SUM(D186:G186)</f>
        <v>107188</v>
      </c>
      <c r="I186" s="33">
        <v>30248</v>
      </c>
      <c r="J186" s="33">
        <v>27242</v>
      </c>
      <c r="K186" s="20">
        <v>31297</v>
      </c>
      <c r="L186" s="20">
        <v>48138</v>
      </c>
      <c r="M186" s="24">
        <f>SUM(I186:L186)</f>
        <v>136925</v>
      </c>
      <c r="N186" s="33">
        <v>32945</v>
      </c>
      <c r="O186" s="33">
        <v>37701</v>
      </c>
      <c r="P186" s="5">
        <v>41554</v>
      </c>
      <c r="Q186" s="5">
        <v>37539</v>
      </c>
      <c r="R186" s="24">
        <f>SUM(N186:Q186)</f>
        <v>149739</v>
      </c>
      <c r="S186" s="227">
        <v>40625</v>
      </c>
      <c r="T186" s="137"/>
      <c r="U186" s="137"/>
      <c r="V186" s="137"/>
      <c r="W186" s="137"/>
      <c r="X186" s="137"/>
      <c r="Y186" s="137"/>
      <c r="Z186" s="137"/>
      <c r="AA186" s="137"/>
      <c r="AB186" s="137"/>
      <c r="AC186" s="137"/>
      <c r="AD186" s="137"/>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row>
    <row r="187" spans="1:87" s="3" customFormat="1" x14ac:dyDescent="0.2">
      <c r="A187" s="225" t="s">
        <v>172</v>
      </c>
      <c r="B187" s="59">
        <v>0</v>
      </c>
      <c r="C187" s="59">
        <v>0</v>
      </c>
      <c r="D187" s="31">
        <v>0</v>
      </c>
      <c r="E187" s="31">
        <v>0</v>
      </c>
      <c r="F187" s="31">
        <v>0</v>
      </c>
      <c r="G187" s="31">
        <v>0</v>
      </c>
      <c r="H187" s="23">
        <v>0</v>
      </c>
      <c r="I187" s="31"/>
      <c r="J187" s="31">
        <v>0</v>
      </c>
      <c r="K187" s="37"/>
      <c r="L187" s="37"/>
      <c r="M187" s="23">
        <v>0</v>
      </c>
      <c r="N187" s="31"/>
      <c r="O187" s="31">
        <v>145</v>
      </c>
      <c r="R187" s="23">
        <v>145</v>
      </c>
      <c r="S187" s="226"/>
      <c r="T187" s="137"/>
      <c r="U187" s="137"/>
      <c r="V187" s="137"/>
      <c r="W187" s="137"/>
      <c r="X187" s="137"/>
      <c r="Y187" s="137"/>
      <c r="Z187" s="137"/>
      <c r="AA187" s="137"/>
      <c r="AB187" s="137"/>
      <c r="AC187" s="137"/>
      <c r="AD187" s="137"/>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row>
    <row r="188" spans="1:87" s="2" customFormat="1" x14ac:dyDescent="0.2">
      <c r="A188" s="221" t="s">
        <v>23</v>
      </c>
      <c r="B188" s="57">
        <v>162458</v>
      </c>
      <c r="C188" s="57">
        <v>172761</v>
      </c>
      <c r="D188" s="33">
        <f t="shared" ref="D188:H188" si="97">D185-D186</f>
        <v>42113</v>
      </c>
      <c r="E188" s="33">
        <f t="shared" si="97"/>
        <v>36310</v>
      </c>
      <c r="F188" s="33">
        <f t="shared" si="97"/>
        <v>45239</v>
      </c>
      <c r="G188" s="33">
        <f t="shared" si="97"/>
        <v>50811</v>
      </c>
      <c r="H188" s="24">
        <f t="shared" si="97"/>
        <v>174473</v>
      </c>
      <c r="I188" s="33">
        <f t="shared" ref="I188:J188" si="98">I185-I186</f>
        <v>45647</v>
      </c>
      <c r="J188" s="33">
        <f t="shared" si="98"/>
        <v>43248</v>
      </c>
      <c r="K188" s="33">
        <f t="shared" ref="K188:L188" si="99">K185-K186</f>
        <v>53109</v>
      </c>
      <c r="L188" s="33">
        <f t="shared" si="99"/>
        <v>87623</v>
      </c>
      <c r="M188" s="24">
        <f t="shared" ref="M188" si="100">M185-M186</f>
        <v>229627</v>
      </c>
      <c r="N188" s="33">
        <f>N185-N186</f>
        <v>66054</v>
      </c>
      <c r="O188" s="33">
        <f>O185-O186</f>
        <v>74827</v>
      </c>
      <c r="P188" s="33">
        <f t="shared" ref="P188:S188" si="101">P185-P186</f>
        <v>79937</v>
      </c>
      <c r="Q188" s="33">
        <f t="shared" si="101"/>
        <v>66370</v>
      </c>
      <c r="R188" s="24">
        <f t="shared" si="101"/>
        <v>287188</v>
      </c>
      <c r="S188" s="233">
        <f t="shared" si="101"/>
        <v>73735</v>
      </c>
      <c r="T188" s="137"/>
      <c r="U188" s="137"/>
      <c r="V188" s="137"/>
      <c r="W188" s="137"/>
      <c r="X188" s="137"/>
      <c r="Y188" s="137"/>
      <c r="Z188" s="137"/>
      <c r="AA188" s="137"/>
      <c r="AB188" s="137"/>
      <c r="AC188" s="137"/>
      <c r="AD188" s="137"/>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row>
    <row r="189" spans="1:87" s="13" customFormat="1" x14ac:dyDescent="0.2">
      <c r="A189" s="306" t="s">
        <v>173</v>
      </c>
      <c r="B189" s="66">
        <v>0.69274919833526638</v>
      </c>
      <c r="C189" s="66">
        <v>0.68253955711830594</v>
      </c>
      <c r="D189" s="92">
        <f t="shared" ref="D189:I189" si="102">D188/D185</f>
        <v>0.64401828997874322</v>
      </c>
      <c r="E189" s="92">
        <f t="shared" si="102"/>
        <v>0.59945189196328341</v>
      </c>
      <c r="F189" s="92">
        <f t="shared" si="102"/>
        <v>0.63057022984820821</v>
      </c>
      <c r="G189" s="92">
        <f t="shared" si="102"/>
        <v>0.60521708057888157</v>
      </c>
      <c r="H189" s="102">
        <f t="shared" si="102"/>
        <v>0.61944323140228852</v>
      </c>
      <c r="I189" s="92">
        <f t="shared" si="102"/>
        <v>0.60144937084129391</v>
      </c>
      <c r="J189" s="92">
        <f t="shared" ref="J189:K189" si="103">J188/J185</f>
        <v>0.61353383458646615</v>
      </c>
      <c r="K189" s="92">
        <f t="shared" si="103"/>
        <v>0.62920882401724998</v>
      </c>
      <c r="L189" s="92">
        <f t="shared" ref="L189" si="104">L188/L185</f>
        <v>0.64542099719359758</v>
      </c>
      <c r="M189" s="102">
        <f t="shared" ref="M189" si="105">M188/M185</f>
        <v>0.62645136297169302</v>
      </c>
      <c r="N189" s="92">
        <f>N188/N185</f>
        <v>0.66721886079657367</v>
      </c>
      <c r="O189" s="92">
        <v>0.66400000000000003</v>
      </c>
      <c r="P189" s="92">
        <v>1.6639999999999999</v>
      </c>
      <c r="Q189" s="92">
        <v>2.6640000000000001</v>
      </c>
      <c r="R189" s="102">
        <f t="shared" ref="R189" si="106">R188/R185</f>
        <v>0.65729057714446582</v>
      </c>
      <c r="S189" s="224">
        <f>S188/S185</f>
        <v>0.64476215459951036</v>
      </c>
      <c r="T189" s="141"/>
      <c r="U189" s="141"/>
      <c r="V189" s="141"/>
      <c r="W189" s="141"/>
      <c r="X189" s="141"/>
      <c r="Y189" s="141"/>
      <c r="Z189" s="141"/>
      <c r="AA189" s="141"/>
      <c r="AB189" s="141"/>
      <c r="AC189" s="141"/>
      <c r="AD189" s="141"/>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c r="AZ189" s="162"/>
      <c r="BA189" s="162"/>
      <c r="BB189" s="162"/>
      <c r="BC189" s="162"/>
      <c r="BD189" s="162"/>
      <c r="BE189" s="162"/>
      <c r="BF189" s="162"/>
      <c r="BG189" s="162"/>
      <c r="BH189" s="162"/>
      <c r="BI189" s="162"/>
      <c r="BJ189" s="162"/>
      <c r="BK189" s="162"/>
      <c r="BL189" s="162"/>
      <c r="BM189" s="162"/>
      <c r="BN189" s="162"/>
      <c r="BO189" s="162"/>
      <c r="BP189" s="162"/>
      <c r="BQ189" s="162"/>
      <c r="BR189" s="162"/>
      <c r="BS189" s="162"/>
      <c r="BT189" s="162"/>
      <c r="BU189" s="162"/>
      <c r="BV189" s="162"/>
      <c r="BW189" s="162"/>
      <c r="BX189" s="162"/>
      <c r="BY189" s="162"/>
      <c r="BZ189" s="162"/>
      <c r="CA189" s="162"/>
      <c r="CB189" s="162"/>
      <c r="CC189" s="162"/>
      <c r="CD189" s="162"/>
      <c r="CE189" s="162"/>
      <c r="CF189" s="162"/>
      <c r="CG189" s="162"/>
      <c r="CH189" s="162"/>
      <c r="CI189" s="162"/>
    </row>
    <row r="190" spans="1:87" s="13" customFormat="1" x14ac:dyDescent="0.2">
      <c r="A190" s="306" t="s">
        <v>174</v>
      </c>
      <c r="B190" s="66"/>
      <c r="C190" s="66"/>
      <c r="D190" s="92">
        <f t="shared" ref="D190:E190" si="107">(D183-D186)/D183</f>
        <v>0.64352766420116081</v>
      </c>
      <c r="E190" s="92">
        <f t="shared" si="107"/>
        <v>0.59846416099829536</v>
      </c>
      <c r="F190" s="92">
        <f t="shared" ref="F190:G190" si="108">(F183-F186)/F183</f>
        <v>0.6289202508960573</v>
      </c>
      <c r="G190" s="92">
        <f t="shared" si="108"/>
        <v>0.60261851665347821</v>
      </c>
      <c r="H190" s="102">
        <f>(H183-H186)/H183</f>
        <v>0.61794164403287777</v>
      </c>
      <c r="I190" s="92">
        <f t="shared" ref="I190:J190" si="109">(I183-I186)/I183</f>
        <v>0.59763219155304292</v>
      </c>
      <c r="J190" s="92">
        <f t="shared" si="109"/>
        <v>0.61014353793093579</v>
      </c>
      <c r="K190" s="92">
        <f t="shared" ref="K190:L190" si="110">(K183-K186)/K183</f>
        <v>0.62526192272231995</v>
      </c>
      <c r="L190" s="92">
        <f t="shared" si="110"/>
        <v>0.64097553699284004</v>
      </c>
      <c r="M190" s="102">
        <f>(M183-M186)/M183</f>
        <v>0.62243105592459924</v>
      </c>
      <c r="N190" s="92">
        <f t="shared" ref="N190:O190" si="111">(N183-N186)/N183</f>
        <v>0.66141497605393518</v>
      </c>
      <c r="O190" s="92">
        <f t="shared" si="111"/>
        <v>0.65923696412592536</v>
      </c>
      <c r="P190" s="92">
        <f t="shared" ref="P190:Q190" si="112">(P183-P186)/P183</f>
        <v>0.64953740016361783</v>
      </c>
      <c r="Q190" s="92">
        <f t="shared" si="112"/>
        <v>0.62613536769978484</v>
      </c>
      <c r="R190" s="102">
        <f>(R183-R186)/R183</f>
        <v>0.6492541858351526</v>
      </c>
      <c r="S190" s="224">
        <f>(S183-S186)/S183</f>
        <v>0.6345160767943574</v>
      </c>
      <c r="T190" s="141"/>
      <c r="U190" s="141"/>
      <c r="V190" s="141"/>
      <c r="W190" s="141"/>
      <c r="X190" s="141"/>
      <c r="Y190" s="141"/>
      <c r="Z190" s="141"/>
      <c r="AA190" s="141"/>
      <c r="AB190" s="141"/>
      <c r="AC190" s="141"/>
      <c r="AD190" s="141"/>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c r="AZ190" s="162"/>
      <c r="BA190" s="162"/>
      <c r="BB190" s="162"/>
      <c r="BC190" s="162"/>
      <c r="BD190" s="162"/>
      <c r="BE190" s="162"/>
      <c r="BF190" s="162"/>
      <c r="BG190" s="162"/>
      <c r="BH190" s="162"/>
      <c r="BI190" s="162"/>
      <c r="BJ190" s="162"/>
      <c r="BK190" s="162"/>
      <c r="BL190" s="162"/>
      <c r="BM190" s="162"/>
      <c r="BN190" s="162"/>
      <c r="BO190" s="162"/>
      <c r="BP190" s="162"/>
      <c r="BQ190" s="162"/>
      <c r="BR190" s="162"/>
      <c r="BS190" s="162"/>
      <c r="BT190" s="162"/>
      <c r="BU190" s="162"/>
      <c r="BV190" s="162"/>
      <c r="BW190" s="162"/>
      <c r="BX190" s="162"/>
      <c r="BY190" s="162"/>
      <c r="BZ190" s="162"/>
      <c r="CA190" s="162"/>
      <c r="CB190" s="162"/>
      <c r="CC190" s="162"/>
      <c r="CD190" s="162"/>
      <c r="CE190" s="162"/>
      <c r="CF190" s="162"/>
      <c r="CG190" s="162"/>
      <c r="CH190" s="162"/>
      <c r="CI190" s="162"/>
    </row>
    <row r="191" spans="1:87" s="13" customFormat="1" x14ac:dyDescent="0.2">
      <c r="A191" s="306" t="s">
        <v>175</v>
      </c>
      <c r="B191" s="66"/>
      <c r="C191" s="66"/>
      <c r="D191" s="92">
        <f>(D184-D187)/D184</f>
        <v>1</v>
      </c>
      <c r="E191" s="92">
        <f>(E184-E187)/E184</f>
        <v>1</v>
      </c>
      <c r="F191" s="92">
        <f t="shared" ref="F191:G191" si="113">(F184-F187)/F184</f>
        <v>1</v>
      </c>
      <c r="G191" s="92">
        <f t="shared" si="113"/>
        <v>1</v>
      </c>
      <c r="H191" s="102">
        <f t="shared" ref="H191:I191" si="114">(H184-H187)/H184</f>
        <v>1</v>
      </c>
      <c r="I191" s="92">
        <f t="shared" si="114"/>
        <v>1</v>
      </c>
      <c r="J191" s="92">
        <f t="shared" ref="J191:K191" si="115">(J184-J187)/J184</f>
        <v>1</v>
      </c>
      <c r="K191" s="92">
        <f t="shared" si="115"/>
        <v>1</v>
      </c>
      <c r="L191" s="92">
        <f t="shared" ref="L191:O191" si="116">(L184-L187)/L184</f>
        <v>1</v>
      </c>
      <c r="M191" s="102">
        <f t="shared" ref="M191" si="117">(M184-M187)/M184</f>
        <v>1</v>
      </c>
      <c r="N191" s="92">
        <f t="shared" si="116"/>
        <v>1</v>
      </c>
      <c r="O191" s="92">
        <f t="shared" si="116"/>
        <v>0.92332099418297198</v>
      </c>
      <c r="P191" s="92">
        <f t="shared" ref="P191:R191" si="118">(P184-P187)/P184</f>
        <v>1</v>
      </c>
      <c r="Q191" s="92">
        <f t="shared" si="118"/>
        <v>1</v>
      </c>
      <c r="R191" s="102">
        <f t="shared" si="118"/>
        <v>0.98551593247427827</v>
      </c>
      <c r="S191" s="224">
        <f>(S184-S187)/S184</f>
        <v>1</v>
      </c>
      <c r="T191" s="141"/>
      <c r="U191" s="141"/>
      <c r="V191" s="141"/>
      <c r="W191" s="141"/>
      <c r="X191" s="141"/>
      <c r="Y191" s="141"/>
      <c r="Z191" s="141"/>
      <c r="AA191" s="141"/>
      <c r="AB191" s="141"/>
      <c r="AC191" s="141"/>
      <c r="AD191" s="141"/>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c r="AZ191" s="162"/>
      <c r="BA191" s="162"/>
      <c r="BB191" s="162"/>
      <c r="BC191" s="162"/>
      <c r="BD191" s="162"/>
      <c r="BE191" s="162"/>
      <c r="BF191" s="162"/>
      <c r="BG191" s="162"/>
      <c r="BH191" s="162"/>
      <c r="BI191" s="162"/>
      <c r="BJ191" s="162"/>
      <c r="BK191" s="162"/>
      <c r="BL191" s="162"/>
      <c r="BM191" s="162"/>
      <c r="BN191" s="162"/>
      <c r="BO191" s="162"/>
      <c r="BP191" s="162"/>
      <c r="BQ191" s="162"/>
      <c r="BR191" s="162"/>
      <c r="BS191" s="162"/>
      <c r="BT191" s="162"/>
      <c r="BU191" s="162"/>
      <c r="BV191" s="162"/>
      <c r="BW191" s="162"/>
      <c r="BX191" s="162"/>
      <c r="BY191" s="162"/>
      <c r="BZ191" s="162"/>
      <c r="CA191" s="162"/>
      <c r="CB191" s="162"/>
      <c r="CC191" s="162"/>
      <c r="CD191" s="162"/>
      <c r="CE191" s="162"/>
      <c r="CF191" s="162"/>
      <c r="CG191" s="162"/>
      <c r="CH191" s="162"/>
      <c r="CI191" s="162"/>
    </row>
    <row r="192" spans="1:87" s="2" customFormat="1" x14ac:dyDescent="0.2">
      <c r="A192" s="221" t="s">
        <v>69</v>
      </c>
      <c r="B192" s="57">
        <v>8377</v>
      </c>
      <c r="C192" s="57">
        <v>17012</v>
      </c>
      <c r="D192" s="33">
        <v>3712</v>
      </c>
      <c r="E192" s="33">
        <v>3087</v>
      </c>
      <c r="F192" s="33">
        <v>3485</v>
      </c>
      <c r="G192" s="33">
        <v>4185</v>
      </c>
      <c r="H192" s="24">
        <f>SUM(D192:G192)</f>
        <v>14469</v>
      </c>
      <c r="I192" s="33">
        <v>3032</v>
      </c>
      <c r="J192" s="33">
        <v>3762</v>
      </c>
      <c r="K192" s="20">
        <v>3355</v>
      </c>
      <c r="L192" s="20">
        <v>5231</v>
      </c>
      <c r="M192" s="24">
        <f>SUM(I192:L192)</f>
        <v>15380</v>
      </c>
      <c r="N192" s="33">
        <v>9243</v>
      </c>
      <c r="O192" s="33">
        <v>12313</v>
      </c>
      <c r="P192" s="33">
        <v>10476</v>
      </c>
      <c r="Q192" s="33">
        <v>14104</v>
      </c>
      <c r="R192" s="24">
        <f>SUM(N192:Q192)</f>
        <v>46136</v>
      </c>
      <c r="S192" s="233">
        <v>9896</v>
      </c>
      <c r="T192" s="137"/>
      <c r="U192" s="137"/>
      <c r="V192" s="137"/>
      <c r="W192" s="137"/>
      <c r="X192" s="137"/>
      <c r="Y192" s="137"/>
      <c r="Z192" s="137"/>
      <c r="AA192" s="137"/>
      <c r="AB192" s="137"/>
      <c r="AC192" s="137"/>
      <c r="AD192" s="137"/>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row>
    <row r="193" spans="1:87" s="2" customFormat="1" x14ac:dyDescent="0.2">
      <c r="A193" s="221"/>
      <c r="B193" s="57"/>
      <c r="C193" s="57"/>
      <c r="D193" s="98"/>
      <c r="E193" s="98"/>
      <c r="F193" s="5"/>
      <c r="G193" s="98"/>
      <c r="H193" s="51"/>
      <c r="I193" s="98"/>
      <c r="J193" s="98"/>
      <c r="K193" s="98"/>
      <c r="L193" s="98"/>
      <c r="M193" s="34"/>
      <c r="N193" s="98"/>
      <c r="O193" s="98"/>
      <c r="P193" s="5"/>
      <c r="Q193" s="5"/>
      <c r="R193" s="34"/>
      <c r="S193" s="227"/>
      <c r="T193" s="137"/>
      <c r="U193" s="137"/>
      <c r="V193" s="137"/>
      <c r="W193" s="137"/>
      <c r="X193" s="137"/>
      <c r="Y193" s="137"/>
      <c r="Z193" s="137"/>
      <c r="AA193" s="137"/>
      <c r="AB193" s="137"/>
      <c r="AC193" s="137"/>
      <c r="AD193" s="137"/>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row>
    <row r="194" spans="1:87" s="2" customFormat="1" x14ac:dyDescent="0.2">
      <c r="A194" s="221"/>
      <c r="B194" s="57"/>
      <c r="C194" s="57"/>
      <c r="D194" s="98"/>
      <c r="E194" s="98"/>
      <c r="F194" s="5"/>
      <c r="G194" s="98"/>
      <c r="H194" s="51"/>
      <c r="I194" s="98"/>
      <c r="J194" s="98"/>
      <c r="K194" s="98"/>
      <c r="L194" s="98"/>
      <c r="M194" s="34"/>
      <c r="N194" s="98"/>
      <c r="O194" s="98"/>
      <c r="P194" s="5"/>
      <c r="Q194" s="5"/>
      <c r="R194" s="34"/>
      <c r="S194" s="227"/>
      <c r="T194" s="137"/>
      <c r="U194" s="137"/>
      <c r="V194" s="137"/>
      <c r="W194" s="137"/>
      <c r="X194" s="137"/>
      <c r="Y194" s="137"/>
      <c r="Z194" s="137"/>
      <c r="AA194" s="137"/>
      <c r="AB194" s="137"/>
      <c r="AC194" s="137"/>
      <c r="AD194" s="137"/>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row>
    <row r="195" spans="1:87" s="11" customFormat="1" x14ac:dyDescent="0.2">
      <c r="A195" s="303" t="s">
        <v>176</v>
      </c>
      <c r="B195" s="62"/>
      <c r="C195" s="62"/>
      <c r="D195" s="18"/>
      <c r="E195" s="18"/>
      <c r="F195" s="18"/>
      <c r="G195" s="18"/>
      <c r="H195" s="122"/>
      <c r="I195" s="118"/>
      <c r="J195" s="118"/>
      <c r="K195" s="118"/>
      <c r="L195" s="118"/>
      <c r="M195" s="123"/>
      <c r="N195" s="118"/>
      <c r="O195" s="118"/>
      <c r="P195" s="18"/>
      <c r="Q195" s="18"/>
      <c r="R195" s="123"/>
      <c r="S195" s="291"/>
      <c r="T195" s="143"/>
      <c r="U195" s="143"/>
      <c r="V195" s="143"/>
      <c r="W195" s="143"/>
      <c r="X195" s="143"/>
      <c r="Y195" s="143"/>
      <c r="Z195" s="143"/>
      <c r="AA195" s="143"/>
      <c r="AB195" s="143"/>
      <c r="AC195" s="143"/>
      <c r="AD195" s="143"/>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44"/>
      <c r="BT195" s="144"/>
      <c r="BU195" s="144"/>
      <c r="BV195" s="144"/>
      <c r="BW195" s="144"/>
      <c r="BX195" s="144"/>
      <c r="BY195" s="144"/>
      <c r="BZ195" s="144"/>
      <c r="CA195" s="144"/>
      <c r="CB195" s="144"/>
      <c r="CC195" s="144"/>
      <c r="CD195" s="144"/>
      <c r="CE195" s="144"/>
      <c r="CF195" s="144"/>
      <c r="CG195" s="144"/>
      <c r="CH195" s="144"/>
      <c r="CI195" s="144"/>
    </row>
    <row r="196" spans="1:87" s="2" customFormat="1" x14ac:dyDescent="0.2">
      <c r="A196" s="221" t="s">
        <v>177</v>
      </c>
      <c r="B196" s="57">
        <v>51347</v>
      </c>
      <c r="C196" s="57">
        <v>74520</v>
      </c>
      <c r="D196" s="20">
        <v>22788</v>
      </c>
      <c r="E196" s="33">
        <v>19968</v>
      </c>
      <c r="F196" s="33">
        <v>25073</v>
      </c>
      <c r="G196" s="33">
        <v>51091</v>
      </c>
      <c r="H196" s="34">
        <f>SUM(D196:G196)</f>
        <v>118920</v>
      </c>
      <c r="I196" s="33">
        <v>32113</v>
      </c>
      <c r="J196" s="33">
        <v>28878</v>
      </c>
      <c r="K196" s="20">
        <v>36574</v>
      </c>
      <c r="L196" s="20">
        <v>40036</v>
      </c>
      <c r="M196" s="34">
        <f>SUM(I196:L196)</f>
        <v>137601</v>
      </c>
      <c r="N196" s="33">
        <v>43584</v>
      </c>
      <c r="O196" s="33">
        <v>45790</v>
      </c>
      <c r="P196" s="5">
        <v>47234</v>
      </c>
      <c r="Q196" s="5">
        <v>45001</v>
      </c>
      <c r="R196" s="34">
        <f>SUM(N196:Q196)</f>
        <v>181609</v>
      </c>
      <c r="S196" s="227">
        <v>65050</v>
      </c>
      <c r="T196" s="137"/>
      <c r="U196" s="137"/>
      <c r="V196" s="137"/>
      <c r="W196" s="137"/>
      <c r="X196" s="137"/>
      <c r="Y196" s="137"/>
      <c r="Z196" s="137"/>
      <c r="AA196" s="137"/>
      <c r="AB196" s="137"/>
      <c r="AC196" s="137"/>
      <c r="AD196" s="137"/>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row>
    <row r="197" spans="1:87" s="3" customFormat="1" x14ac:dyDescent="0.2">
      <c r="A197" s="225" t="s">
        <v>178</v>
      </c>
      <c r="B197" s="59">
        <v>57939</v>
      </c>
      <c r="C197" s="59">
        <v>92433</v>
      </c>
      <c r="D197" s="21">
        <v>27631</v>
      </c>
      <c r="E197" s="31">
        <v>31822</v>
      </c>
      <c r="F197" s="31">
        <v>34021</v>
      </c>
      <c r="G197" s="31">
        <v>36805</v>
      </c>
      <c r="H197" s="35">
        <f>SUM(D197:G197)</f>
        <v>130279</v>
      </c>
      <c r="I197" s="31">
        <v>39154</v>
      </c>
      <c r="J197" s="31">
        <v>41891</v>
      </c>
      <c r="K197" s="21">
        <v>45462</v>
      </c>
      <c r="L197" s="21">
        <v>50343</v>
      </c>
      <c r="M197" s="35">
        <f>SUM(I197:L197)</f>
        <v>176850</v>
      </c>
      <c r="N197" s="31">
        <v>52436</v>
      </c>
      <c r="O197" s="31">
        <v>60477</v>
      </c>
      <c r="P197" s="3">
        <v>63264</v>
      </c>
      <c r="Q197" s="3">
        <v>68668</v>
      </c>
      <c r="R197" s="35">
        <f>SUM(N197:Q197)</f>
        <v>244845</v>
      </c>
      <c r="S197" s="226">
        <v>77016</v>
      </c>
      <c r="T197" s="137"/>
      <c r="U197" s="137"/>
      <c r="V197" s="137"/>
      <c r="W197" s="137"/>
      <c r="X197" s="137"/>
      <c r="Y197" s="137"/>
      <c r="Z197" s="137"/>
      <c r="AA197" s="137"/>
      <c r="AB197" s="137"/>
      <c r="AC197" s="137"/>
      <c r="AD197" s="137"/>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row>
    <row r="198" spans="1:87" s="12" customFormat="1" x14ac:dyDescent="0.2">
      <c r="A198" s="304" t="s">
        <v>20</v>
      </c>
      <c r="B198" s="80">
        <v>109286</v>
      </c>
      <c r="C198" s="80">
        <v>166953</v>
      </c>
      <c r="D198" s="36">
        <f>SUM(D196:D197)</f>
        <v>50419</v>
      </c>
      <c r="E198" s="32">
        <f>SUM(E196:E197)</f>
        <v>51790</v>
      </c>
      <c r="F198" s="32">
        <f>SUM(F196:F197)</f>
        <v>59094</v>
      </c>
      <c r="G198" s="32">
        <f>SUM(G196:G197)</f>
        <v>87896</v>
      </c>
      <c r="H198" s="40">
        <f>SUM(D198:G198)</f>
        <v>249199</v>
      </c>
      <c r="I198" s="32">
        <f>SUM(I196:I197)</f>
        <v>71267</v>
      </c>
      <c r="J198" s="32">
        <f>SUM(J196:J197)</f>
        <v>70769</v>
      </c>
      <c r="K198" s="32">
        <f>SUM(K196:K197)</f>
        <v>82036</v>
      </c>
      <c r="L198" s="36">
        <v>90379</v>
      </c>
      <c r="M198" s="40">
        <f>SUM(I198:L198)</f>
        <v>314451</v>
      </c>
      <c r="N198" s="32">
        <v>96020</v>
      </c>
      <c r="O198" s="32">
        <f>SUM(O196:O197)</f>
        <v>106267</v>
      </c>
      <c r="P198" s="32">
        <f t="shared" ref="P198:S198" si="119">SUM(P196:P197)</f>
        <v>110498</v>
      </c>
      <c r="Q198" s="32">
        <f t="shared" si="119"/>
        <v>113669</v>
      </c>
      <c r="R198" s="40">
        <f>SUM(N198:Q198)</f>
        <v>426454</v>
      </c>
      <c r="S198" s="307">
        <f t="shared" si="119"/>
        <v>142066</v>
      </c>
      <c r="T198" s="137"/>
      <c r="U198" s="137"/>
      <c r="V198" s="137"/>
      <c r="W198" s="137"/>
      <c r="X198" s="137"/>
      <c r="Y198" s="137"/>
      <c r="Z198" s="137"/>
      <c r="AA198" s="137"/>
      <c r="AB198" s="137"/>
      <c r="AC198" s="137"/>
      <c r="AD198" s="137"/>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row>
    <row r="199" spans="1:87" s="2" customFormat="1" x14ac:dyDescent="0.2">
      <c r="A199" s="221" t="s">
        <v>171</v>
      </c>
      <c r="B199" s="57">
        <v>45943</v>
      </c>
      <c r="C199" s="57">
        <v>58983</v>
      </c>
      <c r="D199" s="20">
        <v>16322</v>
      </c>
      <c r="E199" s="33">
        <v>13958</v>
      </c>
      <c r="F199" s="33">
        <v>15941</v>
      </c>
      <c r="G199" s="33">
        <v>37274</v>
      </c>
      <c r="H199" s="24">
        <f>SUM(D199:G199)</f>
        <v>83495</v>
      </c>
      <c r="I199" s="33">
        <v>18636</v>
      </c>
      <c r="J199" s="33">
        <v>16583</v>
      </c>
      <c r="K199" s="20">
        <v>26501</v>
      </c>
      <c r="L199" s="20">
        <v>25486</v>
      </c>
      <c r="M199" s="24">
        <f>SUM(I199:L199)</f>
        <v>87206</v>
      </c>
      <c r="N199" s="33">
        <v>25671</v>
      </c>
      <c r="O199" s="33">
        <v>27600</v>
      </c>
      <c r="P199" s="5">
        <v>29782</v>
      </c>
      <c r="Q199" s="5">
        <v>27306</v>
      </c>
      <c r="R199" s="24">
        <f>SUM(N199:Q199)</f>
        <v>110359</v>
      </c>
      <c r="S199" s="227">
        <v>38727</v>
      </c>
      <c r="T199" s="137"/>
      <c r="U199" s="137"/>
      <c r="V199" s="137"/>
      <c r="W199" s="137"/>
      <c r="X199" s="137"/>
      <c r="Y199" s="137"/>
      <c r="Z199" s="137"/>
      <c r="AA199" s="137"/>
      <c r="AB199" s="137"/>
      <c r="AC199" s="137"/>
      <c r="AD199" s="137"/>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row>
    <row r="200" spans="1:87" s="3" customFormat="1" x14ac:dyDescent="0.2">
      <c r="A200" s="225" t="s">
        <v>172</v>
      </c>
      <c r="B200" s="59">
        <v>18713</v>
      </c>
      <c r="C200" s="59">
        <v>22148</v>
      </c>
      <c r="D200" s="21">
        <v>7293</v>
      </c>
      <c r="E200" s="31">
        <v>8582</v>
      </c>
      <c r="F200" s="31">
        <v>8223</v>
      </c>
      <c r="G200" s="31">
        <v>8793</v>
      </c>
      <c r="H200" s="23">
        <f>SUM(D200:G200)</f>
        <v>32891</v>
      </c>
      <c r="I200" s="31">
        <v>9670</v>
      </c>
      <c r="J200" s="31">
        <v>9257</v>
      </c>
      <c r="K200" s="21">
        <v>10404</v>
      </c>
      <c r="L200" s="21">
        <v>11210</v>
      </c>
      <c r="M200" s="23">
        <f>SUM(I200:L200)</f>
        <v>40541</v>
      </c>
      <c r="N200" s="31">
        <v>13050</v>
      </c>
      <c r="O200" s="31">
        <v>15420</v>
      </c>
      <c r="P200" s="3">
        <v>16086</v>
      </c>
      <c r="Q200" s="3">
        <v>17672</v>
      </c>
      <c r="R200" s="23">
        <f>SUM(N200:Q200)</f>
        <v>62228</v>
      </c>
      <c r="S200" s="226">
        <v>21335</v>
      </c>
      <c r="T200" s="137"/>
      <c r="U200" s="137"/>
      <c r="V200" s="137"/>
      <c r="W200" s="137"/>
      <c r="X200" s="137"/>
      <c r="Y200" s="137"/>
      <c r="Z200" s="137"/>
      <c r="AA200" s="137"/>
      <c r="AB200" s="137"/>
      <c r="AC200" s="137"/>
      <c r="AD200" s="137"/>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row>
    <row r="201" spans="1:87" s="2" customFormat="1" x14ac:dyDescent="0.2">
      <c r="A201" s="221" t="s">
        <v>23</v>
      </c>
      <c r="B201" s="57">
        <v>44630</v>
      </c>
      <c r="C201" s="57">
        <v>85822</v>
      </c>
      <c r="D201" s="20">
        <f t="shared" ref="D201:L201" si="120">D198-D199-D200</f>
        <v>26804</v>
      </c>
      <c r="E201" s="20">
        <f t="shared" si="120"/>
        <v>29250</v>
      </c>
      <c r="F201" s="20">
        <f t="shared" si="120"/>
        <v>34930</v>
      </c>
      <c r="G201" s="20">
        <f t="shared" si="120"/>
        <v>41829</v>
      </c>
      <c r="H201" s="24">
        <f t="shared" si="120"/>
        <v>132813</v>
      </c>
      <c r="I201" s="20">
        <f t="shared" si="120"/>
        <v>42961</v>
      </c>
      <c r="J201" s="20">
        <f t="shared" si="120"/>
        <v>44929</v>
      </c>
      <c r="K201" s="20">
        <f t="shared" si="120"/>
        <v>45131</v>
      </c>
      <c r="L201" s="20">
        <f t="shared" si="120"/>
        <v>53683</v>
      </c>
      <c r="M201" s="24">
        <f t="shared" ref="M201:N201" si="121">M198-M199-M200</f>
        <v>186704</v>
      </c>
      <c r="N201" s="20">
        <f t="shared" si="121"/>
        <v>57299</v>
      </c>
      <c r="O201" s="20">
        <f t="shared" ref="O201:S201" si="122">O198-O199-O200</f>
        <v>63247</v>
      </c>
      <c r="P201" s="20">
        <f t="shared" si="122"/>
        <v>64630</v>
      </c>
      <c r="Q201" s="20">
        <f t="shared" si="122"/>
        <v>68691</v>
      </c>
      <c r="R201" s="131">
        <f t="shared" si="122"/>
        <v>253867</v>
      </c>
      <c r="S201" s="222">
        <f t="shared" si="122"/>
        <v>82004</v>
      </c>
      <c r="T201" s="137"/>
      <c r="U201" s="137"/>
      <c r="V201" s="137"/>
      <c r="W201" s="137"/>
      <c r="X201" s="137"/>
      <c r="Y201" s="137"/>
      <c r="Z201" s="137"/>
      <c r="AA201" s="137"/>
      <c r="AB201" s="137"/>
      <c r="AC201" s="137"/>
      <c r="AD201" s="137"/>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row>
    <row r="202" spans="1:87" s="13" customFormat="1" x14ac:dyDescent="0.2">
      <c r="A202" s="306" t="s">
        <v>179</v>
      </c>
      <c r="B202" s="66">
        <v>0.40837801731237305</v>
      </c>
      <c r="C202" s="66">
        <v>0.51404886405155947</v>
      </c>
      <c r="D202" s="92">
        <f t="shared" ref="D202" si="123">D201/D198</f>
        <v>0.53162498264543123</v>
      </c>
      <c r="E202" s="92">
        <f t="shared" ref="E202:F202" si="124">E201/E198</f>
        <v>0.5647808457231126</v>
      </c>
      <c r="F202" s="92">
        <f t="shared" si="124"/>
        <v>0.59109215825633732</v>
      </c>
      <c r="G202" s="92">
        <f t="shared" ref="G202:H202" si="125">G201/G198</f>
        <v>0.47589196322927096</v>
      </c>
      <c r="H202" s="102">
        <f t="shared" si="125"/>
        <v>0.53295960256662345</v>
      </c>
      <c r="I202" s="92">
        <f t="shared" ref="I202:J202" si="126">I201/I198</f>
        <v>0.60281757335091979</v>
      </c>
      <c r="J202" s="92">
        <f t="shared" si="126"/>
        <v>0.6348683745707866</v>
      </c>
      <c r="K202" s="92">
        <f t="shared" ref="K202:M202" si="127">K201/K198</f>
        <v>0.55013652542786096</v>
      </c>
      <c r="L202" s="92">
        <f t="shared" si="127"/>
        <v>0.59397647683643329</v>
      </c>
      <c r="M202" s="102">
        <f t="shared" si="127"/>
        <v>0.59374592543830362</v>
      </c>
      <c r="N202" s="92">
        <f t="shared" ref="N202:O202" si="128">N201/N198</f>
        <v>0.59674026244532385</v>
      </c>
      <c r="O202" s="92">
        <f t="shared" si="128"/>
        <v>0.59517065504813349</v>
      </c>
      <c r="P202" s="92">
        <f t="shared" ref="P202:R202" si="129">P201/P198</f>
        <v>0.584897464207497</v>
      </c>
      <c r="Q202" s="92">
        <f t="shared" si="129"/>
        <v>0.60430724295982197</v>
      </c>
      <c r="R202" s="102">
        <f t="shared" si="129"/>
        <v>0.59529749984758029</v>
      </c>
      <c r="S202" s="224">
        <f t="shared" ref="S202" si="130">S201/S198</f>
        <v>0.57722467022369883</v>
      </c>
      <c r="T202" s="141"/>
      <c r="U202" s="141"/>
      <c r="V202" s="141"/>
      <c r="W202" s="141"/>
      <c r="X202" s="141"/>
      <c r="Y202" s="141"/>
      <c r="Z202" s="141"/>
      <c r="AA202" s="141"/>
      <c r="AB202" s="141"/>
      <c r="AC202" s="141"/>
      <c r="AD202" s="141"/>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c r="AZ202" s="162"/>
      <c r="BA202" s="162"/>
      <c r="BB202" s="162"/>
      <c r="BC202" s="162"/>
      <c r="BD202" s="162"/>
      <c r="BE202" s="162"/>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2"/>
    </row>
    <row r="203" spans="1:87" s="13" customFormat="1" x14ac:dyDescent="0.2">
      <c r="A203" s="306" t="s">
        <v>174</v>
      </c>
      <c r="B203" s="66">
        <v>0.10524470757785265</v>
      </c>
      <c r="C203" s="66">
        <v>0.20849436392914653</v>
      </c>
      <c r="D203" s="92">
        <f t="shared" ref="D203:D204" si="131">(D196-D199)/D196</f>
        <v>0.28374583113919605</v>
      </c>
      <c r="E203" s="92">
        <f t="shared" ref="E203:F203" si="132">(E196-E199)/E196</f>
        <v>0.30098157051282054</v>
      </c>
      <c r="F203" s="92">
        <f t="shared" si="132"/>
        <v>0.36421648785546207</v>
      </c>
      <c r="G203" s="92">
        <f t="shared" ref="G203:H203" si="133">(G196-G199)/G196</f>
        <v>0.27043902057113778</v>
      </c>
      <c r="H203" s="102">
        <f t="shared" si="133"/>
        <v>0.29788933736966028</v>
      </c>
      <c r="I203" s="92">
        <f t="shared" ref="I203:J203" si="134">(I196-I199)/I196</f>
        <v>0.41967427521564477</v>
      </c>
      <c r="J203" s="92">
        <f t="shared" si="134"/>
        <v>0.42575663134566105</v>
      </c>
      <c r="K203" s="92">
        <f t="shared" ref="K203:M203" si="135">(K196-K199)/K196</f>
        <v>0.27541422868704546</v>
      </c>
      <c r="L203" s="92">
        <f t="shared" si="135"/>
        <v>0.36342291937256471</v>
      </c>
      <c r="M203" s="102">
        <f t="shared" si="135"/>
        <v>0.36624007092971705</v>
      </c>
      <c r="N203" s="92">
        <f t="shared" ref="N203:O203" si="136">(N196-N199)/N196</f>
        <v>0.41099944933920707</v>
      </c>
      <c r="O203" s="92">
        <f t="shared" si="136"/>
        <v>0.39724830749071849</v>
      </c>
      <c r="P203" s="92">
        <f t="shared" ref="P203:R203" si="137">(P196-P199)/P196</f>
        <v>0.36947961214379471</v>
      </c>
      <c r="Q203" s="92">
        <f t="shared" si="137"/>
        <v>0.39321348414479679</v>
      </c>
      <c r="R203" s="102">
        <f t="shared" si="137"/>
        <v>0.39232637149039973</v>
      </c>
      <c r="S203" s="224">
        <f t="shared" ref="S203" si="138">(S196-S199)/S196</f>
        <v>0.40465795541890853</v>
      </c>
      <c r="T203" s="141"/>
      <c r="U203" s="141"/>
      <c r="V203" s="141"/>
      <c r="W203" s="141"/>
      <c r="X203" s="141"/>
      <c r="Y203" s="141"/>
      <c r="Z203" s="141"/>
      <c r="AA203" s="141"/>
      <c r="AB203" s="141"/>
      <c r="AC203" s="141"/>
      <c r="AD203" s="141"/>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2"/>
      <c r="BC203" s="162"/>
      <c r="BD203" s="162"/>
      <c r="BE203" s="162"/>
      <c r="BF203" s="162"/>
      <c r="BG203" s="162"/>
      <c r="BH203" s="162"/>
      <c r="BI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c r="CH203" s="162"/>
      <c r="CI203" s="162"/>
    </row>
    <row r="204" spans="1:87" s="13" customFormat="1" x14ac:dyDescent="0.2">
      <c r="A204" s="306" t="s">
        <v>175</v>
      </c>
      <c r="B204" s="66">
        <v>0.67702238561245442</v>
      </c>
      <c r="C204" s="66">
        <v>0.76038860580095857</v>
      </c>
      <c r="D204" s="92">
        <f t="shared" si="131"/>
        <v>0.73605732691542114</v>
      </c>
      <c r="E204" s="92">
        <f t="shared" ref="E204:F204" si="139">(E197-E200)/E197</f>
        <v>0.730312362516498</v>
      </c>
      <c r="F204" s="92">
        <f t="shared" si="139"/>
        <v>0.75829634637429821</v>
      </c>
      <c r="G204" s="92">
        <f t="shared" ref="G204:H204" si="140">(G197-G200)/G197</f>
        <v>0.76109224290177968</v>
      </c>
      <c r="H204" s="102">
        <f t="shared" si="140"/>
        <v>0.74753413827247672</v>
      </c>
      <c r="I204" s="92">
        <f t="shared" ref="I204:J204" si="141">(I197-I200)/I197</f>
        <v>0.7530265107013332</v>
      </c>
      <c r="J204" s="92">
        <f t="shared" si="141"/>
        <v>0.77902174691461168</v>
      </c>
      <c r="K204" s="92">
        <f t="shared" ref="K204:M204" si="142">(K197-K200)/K197</f>
        <v>0.77114953147683785</v>
      </c>
      <c r="L204" s="92">
        <f t="shared" si="142"/>
        <v>0.77732753312277769</v>
      </c>
      <c r="M204" s="102">
        <f t="shared" si="142"/>
        <v>0.77076053152389035</v>
      </c>
      <c r="N204" s="92">
        <f t="shared" ref="N204:O204" si="143">(N197-N200)/N197</f>
        <v>0.75112518117323979</v>
      </c>
      <c r="O204" s="92">
        <f t="shared" si="143"/>
        <v>0.74502703507118406</v>
      </c>
      <c r="P204" s="92">
        <f t="shared" ref="P204:R204" si="144">(P197-P200)/P197</f>
        <v>0.74573216995447644</v>
      </c>
      <c r="Q204" s="92">
        <f t="shared" si="144"/>
        <v>0.74264577386846853</v>
      </c>
      <c r="R204" s="102">
        <f t="shared" si="144"/>
        <v>0.7458473728277073</v>
      </c>
      <c r="S204" s="224">
        <f t="shared" ref="S204" si="145">(S197-S200)/S197</f>
        <v>0.7229796405941622</v>
      </c>
      <c r="T204" s="141"/>
      <c r="U204" s="141"/>
      <c r="V204" s="141"/>
      <c r="W204" s="141"/>
      <c r="X204" s="141"/>
      <c r="Y204" s="141"/>
      <c r="Z204" s="141"/>
      <c r="AA204" s="141"/>
      <c r="AB204" s="141"/>
      <c r="AC204" s="141"/>
      <c r="AD204" s="141"/>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c r="AZ204" s="162"/>
      <c r="BA204" s="162"/>
      <c r="BB204" s="162"/>
      <c r="BC204" s="162"/>
      <c r="BD204" s="162"/>
      <c r="BE204" s="162"/>
      <c r="BF204" s="162"/>
      <c r="BG204" s="162"/>
      <c r="BH204" s="162"/>
      <c r="BI204" s="162"/>
      <c r="BJ204" s="162"/>
      <c r="BK204" s="162"/>
      <c r="BL204" s="162"/>
      <c r="BM204" s="162"/>
      <c r="BN204" s="162"/>
      <c r="BO204" s="162"/>
      <c r="BP204" s="162"/>
      <c r="BQ204" s="162"/>
      <c r="BR204" s="162"/>
      <c r="BS204" s="162"/>
      <c r="BT204" s="162"/>
      <c r="BU204" s="162"/>
      <c r="BV204" s="162"/>
      <c r="BW204" s="162"/>
      <c r="BX204" s="162"/>
      <c r="BY204" s="162"/>
      <c r="BZ204" s="162"/>
      <c r="CA204" s="162"/>
      <c r="CB204" s="162"/>
      <c r="CC204" s="162"/>
      <c r="CD204" s="162"/>
      <c r="CE204" s="162"/>
      <c r="CF204" s="162"/>
      <c r="CG204" s="162"/>
      <c r="CH204" s="162"/>
      <c r="CI204" s="162"/>
    </row>
    <row r="205" spans="1:87" s="5" customFormat="1" x14ac:dyDescent="0.2">
      <c r="A205" s="221" t="s">
        <v>69</v>
      </c>
      <c r="B205" s="57">
        <v>46996</v>
      </c>
      <c r="C205" s="57">
        <v>59844</v>
      </c>
      <c r="D205" s="20">
        <v>19642</v>
      </c>
      <c r="E205" s="33">
        <v>20406</v>
      </c>
      <c r="F205" s="33">
        <v>21644</v>
      </c>
      <c r="G205" s="33">
        <v>24560</v>
      </c>
      <c r="H205" s="24">
        <f>SUM(D205:G205)</f>
        <v>86252</v>
      </c>
      <c r="I205" s="33">
        <v>23349</v>
      </c>
      <c r="J205" s="33">
        <v>25798</v>
      </c>
      <c r="K205" s="20">
        <v>25891</v>
      </c>
      <c r="L205" s="20">
        <v>32777</v>
      </c>
      <c r="M205" s="24">
        <f>SUM(I205:L205)</f>
        <v>107815</v>
      </c>
      <c r="N205" s="33">
        <v>37775</v>
      </c>
      <c r="O205" s="33">
        <v>41639</v>
      </c>
      <c r="P205" s="33">
        <v>31906</v>
      </c>
      <c r="Q205" s="33">
        <v>36570</v>
      </c>
      <c r="R205" s="24">
        <f>SUM(N205:Q205)</f>
        <v>147890</v>
      </c>
      <c r="S205" s="233">
        <v>38520</v>
      </c>
      <c r="T205" s="137"/>
      <c r="U205" s="137"/>
      <c r="V205" s="137"/>
      <c r="W205" s="137"/>
      <c r="X205" s="137"/>
      <c r="Y205" s="137"/>
      <c r="Z205" s="137"/>
      <c r="AA205" s="137"/>
      <c r="AB205" s="137"/>
      <c r="AC205" s="137"/>
      <c r="AD205" s="137"/>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row>
    <row r="206" spans="1:87" s="2" customFormat="1" x14ac:dyDescent="0.2">
      <c r="A206" s="221"/>
      <c r="B206" s="57"/>
      <c r="C206" s="57"/>
      <c r="D206" s="97"/>
      <c r="E206" s="98"/>
      <c r="F206" s="98"/>
      <c r="G206" s="98"/>
      <c r="H206" s="51"/>
      <c r="I206" s="98"/>
      <c r="J206" s="98"/>
      <c r="K206" s="98"/>
      <c r="L206" s="98"/>
      <c r="M206" s="34"/>
      <c r="N206" s="98"/>
      <c r="O206" s="98"/>
      <c r="P206" s="5"/>
      <c r="Q206" s="5"/>
      <c r="R206" s="34"/>
      <c r="S206" s="227"/>
      <c r="T206" s="137"/>
      <c r="U206" s="137"/>
      <c r="V206" s="137"/>
      <c r="W206" s="137"/>
      <c r="X206" s="137"/>
      <c r="Y206" s="137"/>
      <c r="Z206" s="137"/>
      <c r="AA206" s="137"/>
      <c r="AB206" s="137"/>
      <c r="AC206" s="137"/>
      <c r="AD206" s="137"/>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row>
    <row r="207" spans="1:87" x14ac:dyDescent="0.2">
      <c r="A207" s="240"/>
      <c r="D207" s="241"/>
      <c r="E207" s="242"/>
      <c r="F207" s="242"/>
      <c r="G207" s="242"/>
      <c r="H207" s="243"/>
      <c r="I207" s="242"/>
      <c r="J207" s="242"/>
      <c r="K207" s="242"/>
      <c r="L207" s="242"/>
      <c r="M207" s="244"/>
      <c r="N207" s="242"/>
      <c r="O207" s="242"/>
      <c r="P207" s="245"/>
      <c r="Q207" s="245"/>
      <c r="R207" s="244"/>
      <c r="S207" s="246"/>
    </row>
    <row r="208" spans="1:87" x14ac:dyDescent="0.2">
      <c r="A208" s="240"/>
      <c r="D208" s="241"/>
      <c r="E208" s="242"/>
      <c r="F208" s="242"/>
      <c r="G208" s="242"/>
      <c r="H208" s="243"/>
      <c r="I208" s="242"/>
      <c r="J208" s="242"/>
      <c r="K208" s="242"/>
      <c r="L208" s="242"/>
      <c r="M208" s="244"/>
      <c r="N208" s="242"/>
      <c r="O208" s="242"/>
      <c r="P208" s="245"/>
      <c r="Q208" s="245"/>
      <c r="R208" s="244"/>
      <c r="S208" s="246"/>
    </row>
    <row r="209" spans="1:87" s="8" customFormat="1" x14ac:dyDescent="0.2">
      <c r="A209" s="308" t="s">
        <v>180</v>
      </c>
      <c r="B209" s="75"/>
      <c r="C209" s="75"/>
      <c r="D209" s="20"/>
      <c r="E209" s="20"/>
      <c r="F209" s="20"/>
      <c r="G209" s="20"/>
      <c r="H209" s="131"/>
      <c r="I209" s="20"/>
      <c r="J209" s="20"/>
      <c r="K209" s="20"/>
      <c r="L209" s="20"/>
      <c r="M209" s="131"/>
      <c r="N209" s="20"/>
      <c r="O209" s="20"/>
      <c r="P209" s="20"/>
      <c r="Q209" s="20"/>
      <c r="R209" s="131"/>
      <c r="S209" s="222"/>
      <c r="T209" s="137"/>
      <c r="U209" s="137"/>
      <c r="V209" s="137"/>
      <c r="W209" s="137"/>
      <c r="X209" s="137"/>
      <c r="Y209" s="137"/>
      <c r="Z209" s="137"/>
      <c r="AA209" s="137"/>
      <c r="AB209" s="137"/>
      <c r="AC209" s="137"/>
      <c r="AD209" s="137"/>
      <c r="AE209" s="163"/>
      <c r="AF209" s="163"/>
      <c r="AG209" s="163"/>
      <c r="AH209" s="163"/>
      <c r="AI209" s="163"/>
      <c r="AJ209" s="163"/>
      <c r="AK209" s="163"/>
      <c r="AL209" s="163"/>
      <c r="AM209" s="163"/>
      <c r="AN209" s="163"/>
      <c r="AO209" s="163"/>
      <c r="AP209" s="163"/>
      <c r="AQ209" s="163"/>
      <c r="AR209" s="163"/>
      <c r="AS209" s="163"/>
      <c r="AT209" s="163"/>
      <c r="AU209" s="163"/>
      <c r="AV209" s="163"/>
      <c r="AW209" s="163"/>
      <c r="AX209" s="163"/>
      <c r="AY209" s="163"/>
      <c r="AZ209" s="163"/>
      <c r="BA209" s="163"/>
      <c r="BB209" s="163"/>
      <c r="BC209" s="163"/>
      <c r="BD209" s="163"/>
      <c r="BE209" s="163"/>
      <c r="BF209" s="163"/>
      <c r="BG209" s="163"/>
      <c r="BH209" s="163"/>
      <c r="BI209" s="163"/>
      <c r="BJ209" s="163"/>
      <c r="BK209" s="163"/>
      <c r="BL209" s="163"/>
      <c r="BM209" s="163"/>
      <c r="BN209" s="163"/>
      <c r="BO209" s="163"/>
      <c r="BP209" s="163"/>
      <c r="BQ209" s="163"/>
      <c r="BR209" s="163"/>
      <c r="BS209" s="163"/>
      <c r="BT209" s="163"/>
      <c r="BU209" s="163"/>
      <c r="BV209" s="163"/>
      <c r="BW209" s="163"/>
      <c r="BX209" s="163"/>
      <c r="BY209" s="163"/>
      <c r="BZ209" s="163"/>
      <c r="CA209" s="163"/>
      <c r="CB209" s="163"/>
      <c r="CC209" s="163"/>
      <c r="CD209" s="163"/>
      <c r="CE209" s="163"/>
      <c r="CF209" s="163"/>
      <c r="CG209" s="163"/>
      <c r="CH209" s="163"/>
      <c r="CI209" s="163"/>
    </row>
    <row r="210" spans="1:87" s="8" customFormat="1" x14ac:dyDescent="0.2">
      <c r="A210" s="264" t="s">
        <v>181</v>
      </c>
      <c r="B210" s="75"/>
      <c r="C210" s="75">
        <v>7358</v>
      </c>
      <c r="D210" s="20">
        <v>9954</v>
      </c>
      <c r="E210" s="20">
        <v>9298</v>
      </c>
      <c r="F210" s="20">
        <v>20214</v>
      </c>
      <c r="G210" s="20">
        <f>56652-F210-E210-D210</f>
        <v>17186</v>
      </c>
      <c r="H210" s="131">
        <f>SUM(D210:G210)</f>
        <v>56652</v>
      </c>
      <c r="I210" s="20">
        <v>15326</v>
      </c>
      <c r="J210" s="20">
        <v>11588</v>
      </c>
      <c r="K210" s="20">
        <v>21702</v>
      </c>
      <c r="L210" s="20">
        <f>M210-K210-J210-I210</f>
        <v>58890</v>
      </c>
      <c r="M210" s="131">
        <v>107506</v>
      </c>
      <c r="N210" s="20">
        <v>33991</v>
      </c>
      <c r="O210" s="20">
        <v>28128</v>
      </c>
      <c r="P210" s="20">
        <v>50641</v>
      </c>
      <c r="Q210" s="20">
        <f t="shared" ref="Q210:Q217" si="146">R210-P210-O210-N210</f>
        <v>23146</v>
      </c>
      <c r="R210" s="131">
        <v>135906</v>
      </c>
      <c r="S210" s="222">
        <v>50066</v>
      </c>
      <c r="T210" s="137"/>
      <c r="U210" s="137"/>
      <c r="V210" s="137"/>
      <c r="W210" s="137"/>
      <c r="X210" s="137"/>
      <c r="Y210" s="137"/>
      <c r="Z210" s="137"/>
      <c r="AA210" s="137"/>
      <c r="AB210" s="137"/>
      <c r="AC210" s="137"/>
      <c r="AD210" s="137"/>
      <c r="AE210" s="163"/>
      <c r="AF210" s="163"/>
      <c r="AG210" s="163"/>
      <c r="AH210" s="163"/>
      <c r="AI210" s="163"/>
      <c r="AJ210" s="163"/>
      <c r="AK210" s="163"/>
      <c r="AL210" s="163"/>
      <c r="AM210" s="163"/>
      <c r="AN210" s="163"/>
      <c r="AO210" s="163"/>
      <c r="AP210" s="163"/>
      <c r="AQ210" s="163"/>
      <c r="AR210" s="163"/>
      <c r="AS210" s="163"/>
      <c r="AT210" s="163"/>
      <c r="AU210" s="163"/>
      <c r="AV210" s="163"/>
      <c r="AW210" s="163"/>
      <c r="AX210" s="163"/>
      <c r="AY210" s="163"/>
      <c r="AZ210" s="163"/>
      <c r="BA210" s="163"/>
      <c r="BB210" s="163"/>
      <c r="BC210" s="163"/>
      <c r="BD210" s="163"/>
      <c r="BE210" s="163"/>
      <c r="BF210" s="163"/>
      <c r="BG210" s="163"/>
      <c r="BH210" s="163"/>
      <c r="BI210" s="163"/>
      <c r="BJ210" s="163"/>
      <c r="BK210" s="163"/>
      <c r="BL210" s="163"/>
      <c r="BM210" s="163"/>
      <c r="BN210" s="163"/>
      <c r="BO210" s="163"/>
      <c r="BP210" s="163"/>
      <c r="BQ210" s="163"/>
      <c r="BR210" s="163"/>
      <c r="BS210" s="163"/>
      <c r="BT210" s="163"/>
      <c r="BU210" s="163"/>
      <c r="BV210" s="163"/>
      <c r="BW210" s="163"/>
      <c r="BX210" s="163"/>
      <c r="BY210" s="163"/>
      <c r="BZ210" s="163"/>
      <c r="CA210" s="163"/>
      <c r="CB210" s="163"/>
      <c r="CC210" s="163"/>
      <c r="CD210" s="163"/>
      <c r="CE210" s="163"/>
      <c r="CF210" s="163"/>
      <c r="CG210" s="163"/>
      <c r="CH210" s="163"/>
      <c r="CI210" s="163"/>
    </row>
    <row r="211" spans="1:87" s="8" customFormat="1" x14ac:dyDescent="0.2">
      <c r="A211" s="264" t="s">
        <v>182</v>
      </c>
      <c r="B211" s="75">
        <v>64426</v>
      </c>
      <c r="C211" s="75">
        <v>70638</v>
      </c>
      <c r="D211" s="20">
        <v>15872</v>
      </c>
      <c r="E211" s="20">
        <v>10382</v>
      </c>
      <c r="F211" s="20">
        <v>11578</v>
      </c>
      <c r="G211" s="20">
        <f>52524-F211-E211-D211</f>
        <v>14692</v>
      </c>
      <c r="H211" s="131">
        <f>SUM(D211:G211)</f>
        <v>52524</v>
      </c>
      <c r="I211" s="20">
        <v>11061</v>
      </c>
      <c r="J211" s="20">
        <v>9511</v>
      </c>
      <c r="K211" s="20">
        <v>9766</v>
      </c>
      <c r="L211" s="20">
        <f t="shared" ref="L211:L217" si="147">M211-K211-J211-I211</f>
        <v>11386</v>
      </c>
      <c r="M211" s="131">
        <v>41724</v>
      </c>
      <c r="N211" s="20">
        <v>9963</v>
      </c>
      <c r="O211" s="20">
        <v>9569</v>
      </c>
      <c r="P211" s="20">
        <v>9086</v>
      </c>
      <c r="Q211" s="20">
        <f t="shared" si="146"/>
        <v>12011</v>
      </c>
      <c r="R211" s="131">
        <v>40629</v>
      </c>
      <c r="S211" s="222">
        <v>9479</v>
      </c>
      <c r="T211" s="137"/>
      <c r="U211" s="137"/>
      <c r="V211" s="137"/>
      <c r="W211" s="137"/>
      <c r="X211" s="137"/>
      <c r="Y211" s="137"/>
      <c r="Z211" s="137"/>
      <c r="AA211" s="137"/>
      <c r="AB211" s="137"/>
      <c r="AC211" s="137"/>
      <c r="AD211" s="137"/>
      <c r="AE211" s="163"/>
      <c r="AF211" s="163"/>
      <c r="AG211" s="163"/>
      <c r="AH211" s="163"/>
      <c r="AI211" s="163"/>
      <c r="AJ211" s="163"/>
      <c r="AK211" s="163"/>
      <c r="AL211" s="163"/>
      <c r="AM211" s="163"/>
      <c r="AN211" s="163"/>
      <c r="AO211" s="163"/>
      <c r="AP211" s="163"/>
      <c r="AQ211" s="163"/>
      <c r="AR211" s="163"/>
      <c r="AS211" s="163"/>
      <c r="AT211" s="163"/>
      <c r="AU211" s="163"/>
      <c r="AV211" s="163"/>
      <c r="AW211" s="163"/>
      <c r="AX211" s="163"/>
      <c r="AY211" s="163"/>
      <c r="AZ211" s="163"/>
      <c r="BA211" s="163"/>
      <c r="BB211" s="163"/>
      <c r="BC211" s="163"/>
      <c r="BD211" s="163"/>
      <c r="BE211" s="163"/>
      <c r="BF211" s="163"/>
      <c r="BG211" s="163"/>
      <c r="BH211" s="163"/>
      <c r="BI211" s="163"/>
      <c r="BJ211" s="163"/>
      <c r="BK211" s="163"/>
      <c r="BL211" s="163"/>
      <c r="BM211" s="163"/>
      <c r="BN211" s="163"/>
      <c r="BO211" s="163"/>
      <c r="BP211" s="163"/>
      <c r="BQ211" s="163"/>
      <c r="BR211" s="163"/>
      <c r="BS211" s="163"/>
      <c r="BT211" s="163"/>
      <c r="BU211" s="163"/>
      <c r="BV211" s="163"/>
      <c r="BW211" s="163"/>
      <c r="BX211" s="163"/>
      <c r="BY211" s="163"/>
      <c r="BZ211" s="163"/>
      <c r="CA211" s="163"/>
      <c r="CB211" s="163"/>
      <c r="CC211" s="163"/>
      <c r="CD211" s="163"/>
      <c r="CE211" s="163"/>
      <c r="CF211" s="163"/>
      <c r="CG211" s="163"/>
      <c r="CH211" s="163"/>
      <c r="CI211" s="163"/>
    </row>
    <row r="212" spans="1:87" s="8" customFormat="1" x14ac:dyDescent="0.2">
      <c r="A212" s="264" t="s">
        <v>183</v>
      </c>
      <c r="B212" s="75">
        <v>81417</v>
      </c>
      <c r="C212" s="75">
        <v>78837</v>
      </c>
      <c r="D212" s="20">
        <v>13085</v>
      </c>
      <c r="E212" s="20">
        <v>14087</v>
      </c>
      <c r="F212" s="20">
        <v>13241</v>
      </c>
      <c r="G212" s="20">
        <v>15507</v>
      </c>
      <c r="H212" s="131">
        <f t="shared" ref="H212:H229" si="148">SUM(D212:G212)</f>
        <v>55920</v>
      </c>
      <c r="I212" s="20">
        <v>14075</v>
      </c>
      <c r="J212" s="20">
        <v>16832</v>
      </c>
      <c r="K212" s="20">
        <v>14494</v>
      </c>
      <c r="L212" s="20">
        <f t="shared" si="147"/>
        <v>14706</v>
      </c>
      <c r="M212" s="131">
        <v>60107</v>
      </c>
      <c r="N212" s="20">
        <v>12778</v>
      </c>
      <c r="O212" s="20">
        <v>16145</v>
      </c>
      <c r="P212" s="20">
        <v>10078</v>
      </c>
      <c r="Q212" s="20">
        <f t="shared" si="146"/>
        <v>19080</v>
      </c>
      <c r="R212" s="131">
        <v>58081</v>
      </c>
      <c r="S212" s="222">
        <v>3619</v>
      </c>
      <c r="T212" s="137"/>
      <c r="U212" s="137"/>
      <c r="V212" s="137"/>
      <c r="W212" s="137"/>
      <c r="X212" s="137"/>
      <c r="Y212" s="137"/>
      <c r="Z212" s="137"/>
      <c r="AA212" s="137"/>
      <c r="AB212" s="137"/>
      <c r="AC212" s="137"/>
      <c r="AD212" s="137"/>
      <c r="AE212" s="163"/>
      <c r="AF212" s="163"/>
      <c r="AG212" s="163"/>
      <c r="AH212" s="163"/>
      <c r="AI212" s="163"/>
      <c r="AJ212" s="163"/>
      <c r="AK212" s="163"/>
      <c r="AL212" s="163"/>
      <c r="AM212" s="163"/>
      <c r="AN212" s="163"/>
      <c r="AO212" s="163"/>
      <c r="AP212" s="163"/>
      <c r="AQ212" s="163"/>
      <c r="AR212" s="163"/>
      <c r="AS212" s="163"/>
      <c r="AT212" s="163"/>
      <c r="AU212" s="163"/>
      <c r="AV212" s="163"/>
      <c r="AW212" s="163"/>
      <c r="AX212" s="163"/>
      <c r="AY212" s="163"/>
      <c r="AZ212" s="163"/>
      <c r="BA212" s="163"/>
      <c r="BB212" s="163"/>
      <c r="BC212" s="163"/>
      <c r="BD212" s="163"/>
      <c r="BE212" s="163"/>
      <c r="BF212" s="163"/>
      <c r="BG212" s="163"/>
      <c r="BH212" s="163"/>
      <c r="BI212" s="163"/>
      <c r="BJ212" s="163"/>
      <c r="BK212" s="163"/>
      <c r="BL212" s="163"/>
      <c r="BM212" s="163"/>
      <c r="BN212" s="163"/>
      <c r="BO212" s="163"/>
      <c r="BP212" s="163"/>
      <c r="BQ212" s="163"/>
      <c r="BR212" s="163"/>
      <c r="BS212" s="163"/>
      <c r="BT212" s="163"/>
      <c r="BU212" s="163"/>
      <c r="BV212" s="163"/>
      <c r="BW212" s="163"/>
      <c r="BX212" s="163"/>
      <c r="BY212" s="163"/>
      <c r="BZ212" s="163"/>
      <c r="CA212" s="163"/>
      <c r="CB212" s="163"/>
      <c r="CC212" s="163"/>
      <c r="CD212" s="163"/>
      <c r="CE212" s="163"/>
      <c r="CF212" s="163"/>
      <c r="CG212" s="163"/>
      <c r="CH212" s="163"/>
      <c r="CI212" s="163"/>
    </row>
    <row r="213" spans="1:87" s="8" customFormat="1" x14ac:dyDescent="0.2">
      <c r="A213" s="264" t="s">
        <v>184</v>
      </c>
      <c r="B213" s="75">
        <v>4340</v>
      </c>
      <c r="C213" s="75">
        <v>5182</v>
      </c>
      <c r="D213" s="20">
        <v>670</v>
      </c>
      <c r="E213" s="20">
        <v>1118</v>
      </c>
      <c r="F213" s="20">
        <v>1132</v>
      </c>
      <c r="G213" s="20">
        <v>1169</v>
      </c>
      <c r="H213" s="131">
        <f t="shared" si="148"/>
        <v>4089</v>
      </c>
      <c r="I213" s="20">
        <v>1200</v>
      </c>
      <c r="J213" s="20">
        <v>2193</v>
      </c>
      <c r="K213" s="20">
        <v>2981</v>
      </c>
      <c r="L213" s="20">
        <f>M213-K213-J213-I213</f>
        <v>3033</v>
      </c>
      <c r="M213" s="131">
        <v>9407</v>
      </c>
      <c r="N213" s="20">
        <v>2205</v>
      </c>
      <c r="O213" s="20">
        <v>1701</v>
      </c>
      <c r="P213" s="20">
        <v>967</v>
      </c>
      <c r="Q213" s="20">
        <f t="shared" si="146"/>
        <v>2259</v>
      </c>
      <c r="R213" s="131">
        <v>7132</v>
      </c>
      <c r="S213" s="222">
        <v>1696</v>
      </c>
      <c r="T213" s="137"/>
      <c r="U213" s="137"/>
      <c r="V213" s="137"/>
      <c r="W213" s="137"/>
      <c r="X213" s="137"/>
      <c r="Y213" s="137"/>
      <c r="Z213" s="137"/>
      <c r="AA213" s="137"/>
      <c r="AB213" s="137"/>
      <c r="AC213" s="137"/>
      <c r="AD213" s="137"/>
      <c r="AE213" s="163"/>
      <c r="AF213" s="163"/>
      <c r="AG213" s="163"/>
      <c r="AH213" s="163"/>
      <c r="AI213" s="163"/>
      <c r="AJ213" s="163"/>
      <c r="AK213" s="163"/>
      <c r="AL213" s="163"/>
      <c r="AM213" s="163"/>
      <c r="AN213" s="163"/>
      <c r="AO213" s="163"/>
      <c r="AP213" s="163"/>
      <c r="AQ213" s="163"/>
      <c r="AR213" s="163"/>
      <c r="AS213" s="163"/>
      <c r="AT213" s="163"/>
      <c r="AU213" s="163"/>
      <c r="AV213" s="163"/>
      <c r="AW213" s="163"/>
      <c r="AX213" s="163"/>
      <c r="AY213" s="163"/>
      <c r="AZ213" s="163"/>
      <c r="BA213" s="163"/>
      <c r="BB213" s="163"/>
      <c r="BC213" s="163"/>
      <c r="BD213" s="163"/>
      <c r="BE213" s="163"/>
      <c r="BF213" s="163"/>
      <c r="BG213" s="163"/>
      <c r="BH213" s="163"/>
      <c r="BI213" s="163"/>
      <c r="BJ213" s="163"/>
      <c r="BK213" s="163"/>
      <c r="BL213" s="163"/>
      <c r="BM213" s="163"/>
      <c r="BN213" s="163"/>
      <c r="BO213" s="163"/>
      <c r="BP213" s="163"/>
      <c r="BQ213" s="163"/>
      <c r="BR213" s="163"/>
      <c r="BS213" s="163"/>
      <c r="BT213" s="163"/>
      <c r="BU213" s="163"/>
      <c r="BV213" s="163"/>
      <c r="BW213" s="163"/>
      <c r="BX213" s="163"/>
      <c r="BY213" s="163"/>
      <c r="BZ213" s="163"/>
      <c r="CA213" s="163"/>
      <c r="CB213" s="163"/>
      <c r="CC213" s="163"/>
      <c r="CD213" s="163"/>
      <c r="CE213" s="163"/>
      <c r="CF213" s="163"/>
      <c r="CG213" s="163"/>
      <c r="CH213" s="163"/>
      <c r="CI213" s="163"/>
    </row>
    <row r="214" spans="1:87" s="8" customFormat="1" x14ac:dyDescent="0.2">
      <c r="A214" s="264" t="s">
        <v>185</v>
      </c>
      <c r="B214" s="75">
        <v>63203</v>
      </c>
      <c r="C214" s="75">
        <v>68258</v>
      </c>
      <c r="D214" s="20">
        <v>19160</v>
      </c>
      <c r="E214" s="20">
        <v>19293</v>
      </c>
      <c r="F214" s="20">
        <v>18901</v>
      </c>
      <c r="G214" s="20">
        <v>28633</v>
      </c>
      <c r="H214" s="131">
        <f t="shared" si="148"/>
        <v>85987</v>
      </c>
      <c r="I214" s="20">
        <v>26625</v>
      </c>
      <c r="J214" s="20">
        <v>23772</v>
      </c>
      <c r="K214" s="20">
        <v>26335</v>
      </c>
      <c r="L214" s="20">
        <f t="shared" si="147"/>
        <v>38461</v>
      </c>
      <c r="M214" s="131">
        <v>115193</v>
      </c>
      <c r="N214" s="20">
        <v>30418</v>
      </c>
      <c r="O214" s="20">
        <v>46678</v>
      </c>
      <c r="P214" s="20">
        <v>39313</v>
      </c>
      <c r="Q214" s="20">
        <f t="shared" si="146"/>
        <v>36433</v>
      </c>
      <c r="R214" s="131">
        <v>152842</v>
      </c>
      <c r="S214" s="222">
        <v>37825</v>
      </c>
      <c r="T214" s="137"/>
      <c r="U214" s="137"/>
      <c r="V214" s="137"/>
      <c r="W214" s="137"/>
      <c r="X214" s="137"/>
      <c r="Y214" s="137"/>
      <c r="Z214" s="137"/>
      <c r="AA214" s="137"/>
      <c r="AB214" s="137"/>
      <c r="AC214" s="137"/>
      <c r="AD214" s="137"/>
      <c r="AE214" s="163"/>
      <c r="AF214" s="163"/>
      <c r="AG214" s="163"/>
      <c r="AH214" s="163"/>
      <c r="AI214" s="163"/>
      <c r="AJ214" s="163"/>
      <c r="AK214" s="163"/>
      <c r="AL214" s="163"/>
      <c r="AM214" s="163"/>
      <c r="AN214" s="163"/>
      <c r="AO214" s="163"/>
      <c r="AP214" s="163"/>
      <c r="AQ214" s="163"/>
      <c r="AR214" s="163"/>
      <c r="AS214" s="163"/>
      <c r="AT214" s="163"/>
      <c r="AU214" s="163"/>
      <c r="AV214" s="163"/>
      <c r="AW214" s="163"/>
      <c r="AX214" s="163"/>
      <c r="AY214" s="163"/>
      <c r="AZ214" s="163"/>
      <c r="BA214" s="163"/>
      <c r="BB214" s="163"/>
      <c r="BC214" s="163"/>
      <c r="BD214" s="163"/>
      <c r="BE214" s="163"/>
      <c r="BF214" s="163"/>
      <c r="BG214" s="163"/>
      <c r="BH214" s="163"/>
      <c r="BI214" s="163"/>
      <c r="BJ214" s="163"/>
      <c r="BK214" s="163"/>
      <c r="BL214" s="163"/>
      <c r="BM214" s="163"/>
      <c r="BN214" s="163"/>
      <c r="BO214" s="163"/>
      <c r="BP214" s="163"/>
      <c r="BQ214" s="163"/>
      <c r="BR214" s="163"/>
      <c r="BS214" s="163"/>
      <c r="BT214" s="163"/>
      <c r="BU214" s="163"/>
      <c r="BV214" s="163"/>
      <c r="BW214" s="163"/>
      <c r="BX214" s="163"/>
      <c r="BY214" s="163"/>
      <c r="BZ214" s="163"/>
      <c r="CA214" s="163"/>
      <c r="CB214" s="163"/>
      <c r="CC214" s="163"/>
      <c r="CD214" s="163"/>
      <c r="CE214" s="163"/>
      <c r="CF214" s="163"/>
      <c r="CG214" s="163"/>
      <c r="CH214" s="163"/>
      <c r="CI214" s="163"/>
    </row>
    <row r="215" spans="1:87" s="8" customFormat="1" x14ac:dyDescent="0.2">
      <c r="A215" s="264" t="s">
        <v>186</v>
      </c>
      <c r="B215" s="75"/>
      <c r="C215" s="75"/>
      <c r="D215" s="20">
        <v>36</v>
      </c>
      <c r="E215" s="20">
        <v>109</v>
      </c>
      <c r="F215" s="20">
        <v>218</v>
      </c>
      <c r="G215" s="20">
        <v>341</v>
      </c>
      <c r="H215" s="131">
        <f t="shared" si="148"/>
        <v>704</v>
      </c>
      <c r="I215" s="20">
        <v>498</v>
      </c>
      <c r="J215" s="20">
        <v>586</v>
      </c>
      <c r="K215" s="20">
        <v>692</v>
      </c>
      <c r="L215" s="20">
        <f t="shared" si="147"/>
        <v>1159</v>
      </c>
      <c r="M215" s="131">
        <v>2935</v>
      </c>
      <c r="N215" s="20">
        <v>1396</v>
      </c>
      <c r="O215" s="20">
        <v>1702</v>
      </c>
      <c r="P215" s="20">
        <v>2711</v>
      </c>
      <c r="Q215" s="20">
        <f t="shared" si="146"/>
        <v>3350</v>
      </c>
      <c r="R215" s="131">
        <v>9159</v>
      </c>
      <c r="S215" s="222">
        <v>3017</v>
      </c>
      <c r="T215" s="137"/>
      <c r="U215" s="137"/>
      <c r="V215" s="137"/>
      <c r="W215" s="137"/>
      <c r="X215" s="137"/>
      <c r="Y215" s="137"/>
      <c r="Z215" s="137"/>
      <c r="AA215" s="137"/>
      <c r="AB215" s="137"/>
      <c r="AC215" s="137"/>
      <c r="AD215" s="137"/>
      <c r="AE215" s="163"/>
      <c r="AF215" s="163"/>
      <c r="AG215" s="163"/>
      <c r="AH215" s="163"/>
      <c r="AI215" s="163"/>
      <c r="AJ215" s="163"/>
      <c r="AK215" s="163"/>
      <c r="AL215" s="163"/>
      <c r="AM215" s="163"/>
      <c r="AN215" s="163"/>
      <c r="AO215" s="163"/>
      <c r="AP215" s="163"/>
      <c r="AQ215" s="163"/>
      <c r="AR215" s="163"/>
      <c r="AS215" s="163"/>
      <c r="AT215" s="163"/>
      <c r="AU215" s="163"/>
      <c r="AV215" s="163"/>
      <c r="AW215" s="163"/>
      <c r="AX215" s="163"/>
      <c r="AY215" s="163"/>
      <c r="AZ215" s="163"/>
      <c r="BA215" s="163"/>
      <c r="BB215" s="163"/>
      <c r="BC215" s="163"/>
      <c r="BD215" s="163"/>
      <c r="BE215" s="163"/>
      <c r="BF215" s="163"/>
      <c r="BG215" s="163"/>
      <c r="BH215" s="163"/>
      <c r="BI215" s="163"/>
      <c r="BJ215" s="163"/>
      <c r="BK215" s="163"/>
      <c r="BL215" s="163"/>
      <c r="BM215" s="163"/>
      <c r="BN215" s="163"/>
      <c r="BO215" s="163"/>
      <c r="BP215" s="163"/>
      <c r="BQ215" s="163"/>
      <c r="BR215" s="163"/>
      <c r="BS215" s="163"/>
      <c r="BT215" s="163"/>
      <c r="BU215" s="163"/>
      <c r="BV215" s="163"/>
      <c r="BW215" s="163"/>
      <c r="BX215" s="163"/>
      <c r="BY215" s="163"/>
      <c r="BZ215" s="163"/>
      <c r="CA215" s="163"/>
      <c r="CB215" s="163"/>
      <c r="CC215" s="163"/>
      <c r="CD215" s="163"/>
      <c r="CE215" s="163"/>
      <c r="CF215" s="163"/>
      <c r="CG215" s="163"/>
      <c r="CH215" s="163"/>
      <c r="CI215" s="163"/>
    </row>
    <row r="216" spans="1:87" s="8" customFormat="1" x14ac:dyDescent="0.2">
      <c r="A216" s="264" t="s">
        <v>187</v>
      </c>
      <c r="B216" s="75">
        <v>12426</v>
      </c>
      <c r="C216" s="75">
        <v>15753</v>
      </c>
      <c r="D216" s="20">
        <v>4316</v>
      </c>
      <c r="E216" s="20">
        <v>4482</v>
      </c>
      <c r="F216" s="20">
        <v>4543</v>
      </c>
      <c r="G216" s="20">
        <v>4733</v>
      </c>
      <c r="H216" s="131">
        <f t="shared" si="148"/>
        <v>18074</v>
      </c>
      <c r="I216" s="20">
        <v>4977</v>
      </c>
      <c r="J216" s="20">
        <v>5098</v>
      </c>
      <c r="K216" s="20">
        <v>5265</v>
      </c>
      <c r="L216" s="20">
        <f t="shared" si="147"/>
        <v>5414</v>
      </c>
      <c r="M216" s="131">
        <v>20754</v>
      </c>
      <c r="N216" s="20">
        <v>5646</v>
      </c>
      <c r="O216" s="20">
        <v>5857</v>
      </c>
      <c r="P216" s="20">
        <v>6099</v>
      </c>
      <c r="Q216" s="20">
        <f t="shared" si="146"/>
        <v>6523</v>
      </c>
      <c r="R216" s="131">
        <v>24125</v>
      </c>
      <c r="S216" s="222">
        <v>6679</v>
      </c>
      <c r="T216" s="137"/>
      <c r="U216" s="137"/>
      <c r="V216" s="137"/>
      <c r="W216" s="137"/>
      <c r="X216" s="137"/>
      <c r="Y216" s="137"/>
      <c r="Z216" s="137"/>
      <c r="AA216" s="137"/>
      <c r="AB216" s="137"/>
      <c r="AC216" s="137"/>
      <c r="AD216" s="137"/>
      <c r="AE216" s="163"/>
      <c r="AF216" s="163"/>
      <c r="AG216" s="163"/>
      <c r="AH216" s="163"/>
      <c r="AI216" s="163"/>
      <c r="AJ216" s="163"/>
      <c r="AK216" s="163"/>
      <c r="AL216" s="163"/>
      <c r="AM216" s="163"/>
      <c r="AN216" s="163"/>
      <c r="AO216" s="163"/>
      <c r="AP216" s="163"/>
      <c r="AQ216" s="163"/>
      <c r="AR216" s="163"/>
      <c r="AS216" s="163"/>
      <c r="AT216" s="163"/>
      <c r="AU216" s="163"/>
      <c r="AV216" s="163"/>
      <c r="AW216" s="163"/>
      <c r="AX216" s="163"/>
      <c r="AY216" s="163"/>
      <c r="AZ216" s="163"/>
      <c r="BA216" s="163"/>
      <c r="BB216" s="163"/>
      <c r="BC216" s="163"/>
      <c r="BD216" s="163"/>
      <c r="BE216" s="163"/>
      <c r="BF216" s="163"/>
      <c r="BG216" s="163"/>
      <c r="BH216" s="163"/>
      <c r="BI216" s="163"/>
      <c r="BJ216" s="163"/>
      <c r="BK216" s="163"/>
      <c r="BL216" s="163"/>
      <c r="BM216" s="163"/>
      <c r="BN216" s="163"/>
      <c r="BO216" s="163"/>
      <c r="BP216" s="163"/>
      <c r="BQ216" s="163"/>
      <c r="BR216" s="163"/>
      <c r="BS216" s="163"/>
      <c r="BT216" s="163"/>
      <c r="BU216" s="163"/>
      <c r="BV216" s="163"/>
      <c r="BW216" s="163"/>
      <c r="BX216" s="163"/>
      <c r="BY216" s="163"/>
      <c r="BZ216" s="163"/>
      <c r="CA216" s="163"/>
      <c r="CB216" s="163"/>
      <c r="CC216" s="163"/>
      <c r="CD216" s="163"/>
      <c r="CE216" s="163"/>
      <c r="CF216" s="163"/>
      <c r="CG216" s="163"/>
      <c r="CH216" s="163"/>
      <c r="CI216" s="163"/>
    </row>
    <row r="217" spans="1:87" s="21" customFormat="1" x14ac:dyDescent="0.2">
      <c r="A217" s="265" t="s">
        <v>188</v>
      </c>
      <c r="B217" s="81">
        <v>8700</v>
      </c>
      <c r="C217" s="81">
        <v>7089</v>
      </c>
      <c r="D217" s="21">
        <v>2298</v>
      </c>
      <c r="E217" s="21">
        <v>1803</v>
      </c>
      <c r="F217" s="21">
        <v>1916</v>
      </c>
      <c r="G217" s="21">
        <v>1694</v>
      </c>
      <c r="H217" s="53">
        <f t="shared" si="148"/>
        <v>7711</v>
      </c>
      <c r="I217" s="21">
        <v>2133</v>
      </c>
      <c r="J217" s="21">
        <v>910</v>
      </c>
      <c r="K217" s="21">
        <v>3171</v>
      </c>
      <c r="L217" s="21">
        <f t="shared" si="147"/>
        <v>2712</v>
      </c>
      <c r="M217" s="53">
        <v>8926</v>
      </c>
      <c r="N217" s="21">
        <v>2602</v>
      </c>
      <c r="O217" s="21">
        <v>2748</v>
      </c>
      <c r="P217" s="21">
        <v>2596</v>
      </c>
      <c r="Q217" s="21">
        <f t="shared" si="146"/>
        <v>1107</v>
      </c>
      <c r="R217" s="53">
        <v>9053</v>
      </c>
      <c r="S217" s="309">
        <v>1979</v>
      </c>
      <c r="T217" s="137"/>
      <c r="U217" s="137"/>
      <c r="V217" s="137"/>
      <c r="W217" s="137"/>
      <c r="X217" s="137"/>
      <c r="Y217" s="137"/>
      <c r="Z217" s="137"/>
      <c r="AA217" s="137"/>
      <c r="AB217" s="137"/>
      <c r="AC217" s="137"/>
      <c r="AD217" s="137"/>
      <c r="AE217" s="163"/>
      <c r="AF217" s="163"/>
      <c r="AG217" s="163"/>
      <c r="AH217" s="163"/>
      <c r="AI217" s="163"/>
      <c r="AJ217" s="163"/>
      <c r="AK217" s="163"/>
      <c r="AL217" s="163"/>
      <c r="AM217" s="163"/>
      <c r="AN217" s="163"/>
      <c r="AO217" s="163"/>
      <c r="AP217" s="163"/>
      <c r="AQ217" s="163"/>
      <c r="AR217" s="163"/>
      <c r="AS217" s="163"/>
      <c r="AT217" s="163"/>
      <c r="AU217" s="163"/>
      <c r="AV217" s="163"/>
      <c r="AW217" s="163"/>
      <c r="AX217" s="163"/>
      <c r="AY217" s="163"/>
      <c r="AZ217" s="163"/>
      <c r="BA217" s="163"/>
      <c r="BB217" s="163"/>
      <c r="BC217" s="163"/>
      <c r="BD217" s="163"/>
      <c r="BE217" s="163"/>
      <c r="BF217" s="163"/>
      <c r="BG217" s="163"/>
      <c r="BH217" s="163"/>
      <c r="BI217" s="163"/>
      <c r="BJ217" s="163"/>
      <c r="BK217" s="163"/>
      <c r="BL217" s="163"/>
      <c r="BM217" s="163"/>
      <c r="BN217" s="163"/>
      <c r="BO217" s="163"/>
      <c r="BP217" s="163"/>
      <c r="BQ217" s="163"/>
      <c r="BR217" s="163"/>
      <c r="BS217" s="163"/>
      <c r="BT217" s="163"/>
      <c r="BU217" s="163"/>
      <c r="BV217" s="163"/>
      <c r="BW217" s="163"/>
      <c r="BX217" s="163"/>
      <c r="BY217" s="163"/>
      <c r="BZ217" s="163"/>
      <c r="CA217" s="163"/>
      <c r="CB217" s="163"/>
      <c r="CC217" s="163"/>
      <c r="CD217" s="163"/>
      <c r="CE217" s="163"/>
      <c r="CF217" s="163"/>
      <c r="CG217" s="163"/>
      <c r="CH217" s="163"/>
      <c r="CI217" s="163"/>
    </row>
    <row r="218" spans="1:87" s="8" customFormat="1" x14ac:dyDescent="0.2">
      <c r="A218" s="264" t="s">
        <v>189</v>
      </c>
      <c r="B218" s="75">
        <v>234512</v>
      </c>
      <c r="C218" s="75">
        <v>253115</v>
      </c>
      <c r="D218" s="20">
        <f>SUM(D210:D217)</f>
        <v>65391</v>
      </c>
      <c r="E218" s="20">
        <f>SUM(E210:E217)</f>
        <v>60572</v>
      </c>
      <c r="F218" s="20">
        <f>SUM(F210:F217)</f>
        <v>71743</v>
      </c>
      <c r="G218" s="20">
        <f>SUM(G210:G217)</f>
        <v>83955</v>
      </c>
      <c r="H218" s="131">
        <f t="shared" si="148"/>
        <v>281661</v>
      </c>
      <c r="I218" s="20">
        <f t="shared" ref="I218:N218" si="149">SUM(I210:I217)</f>
        <v>75895</v>
      </c>
      <c r="J218" s="20">
        <f t="shared" si="149"/>
        <v>70490</v>
      </c>
      <c r="K218" s="20">
        <f t="shared" si="149"/>
        <v>84406</v>
      </c>
      <c r="L218" s="20">
        <f t="shared" si="149"/>
        <v>135761</v>
      </c>
      <c r="M218" s="131">
        <f t="shared" si="149"/>
        <v>366552</v>
      </c>
      <c r="N218" s="20">
        <f t="shared" si="149"/>
        <v>98999</v>
      </c>
      <c r="O218" s="20">
        <f>SUM(O210:O217)</f>
        <v>112528</v>
      </c>
      <c r="P218" s="20">
        <f t="shared" ref="P218" si="150">SUM(P210:P217)</f>
        <v>121491</v>
      </c>
      <c r="Q218" s="20">
        <f>SUM(Q210:Q217)</f>
        <v>103909</v>
      </c>
      <c r="R218" s="131">
        <f>SUM(R210:R217)</f>
        <v>436927</v>
      </c>
      <c r="S218" s="222">
        <f>SUM(S210:S217)</f>
        <v>114360</v>
      </c>
      <c r="T218" s="137"/>
      <c r="U218" s="137"/>
      <c r="V218" s="137"/>
      <c r="W218" s="137"/>
      <c r="X218" s="137"/>
      <c r="Y218" s="137"/>
      <c r="Z218" s="137"/>
      <c r="AA218" s="137"/>
      <c r="AB218" s="137"/>
      <c r="AC218" s="137"/>
      <c r="AD218" s="137"/>
      <c r="AE218" s="163"/>
      <c r="AF218" s="163"/>
      <c r="AG218" s="163"/>
      <c r="AH218" s="163"/>
      <c r="AI218" s="163"/>
      <c r="AJ218" s="163"/>
      <c r="AK218" s="163"/>
      <c r="AL218" s="163"/>
      <c r="AM218" s="163"/>
      <c r="AN218" s="163"/>
      <c r="AO218" s="163"/>
      <c r="AP218" s="163"/>
      <c r="AQ218" s="163"/>
      <c r="AR218" s="163"/>
      <c r="AS218" s="163"/>
      <c r="AT218" s="163"/>
      <c r="AU218" s="163"/>
      <c r="AV218" s="163"/>
      <c r="AW218" s="163"/>
      <c r="AX218" s="163"/>
      <c r="AY218" s="163"/>
      <c r="AZ218" s="163"/>
      <c r="BA218" s="163"/>
      <c r="BB218" s="163"/>
      <c r="BC218" s="163"/>
      <c r="BD218" s="163"/>
      <c r="BE218" s="163"/>
      <c r="BF218" s="163"/>
      <c r="BG218" s="163"/>
      <c r="BH218" s="163"/>
      <c r="BI218" s="163"/>
      <c r="BJ218" s="163"/>
      <c r="BK218" s="163"/>
      <c r="BL218" s="163"/>
      <c r="BM218" s="163"/>
      <c r="BN218" s="163"/>
      <c r="BO218" s="163"/>
      <c r="BP218" s="163"/>
      <c r="BQ218" s="163"/>
      <c r="BR218" s="163"/>
      <c r="BS218" s="163"/>
      <c r="BT218" s="163"/>
      <c r="BU218" s="163"/>
      <c r="BV218" s="163"/>
      <c r="BW218" s="163"/>
      <c r="BX218" s="163"/>
      <c r="BY218" s="163"/>
      <c r="BZ218" s="163"/>
      <c r="CA218" s="163"/>
      <c r="CB218" s="163"/>
      <c r="CC218" s="163"/>
      <c r="CD218" s="163"/>
      <c r="CE218" s="163"/>
      <c r="CF218" s="163"/>
      <c r="CG218" s="163"/>
      <c r="CH218" s="163"/>
      <c r="CI218" s="163"/>
    </row>
    <row r="219" spans="1:87" s="8" customFormat="1" x14ac:dyDescent="0.2">
      <c r="A219" s="264"/>
      <c r="B219" s="75">
        <v>0</v>
      </c>
      <c r="C219" s="75">
        <v>0</v>
      </c>
      <c r="D219" s="20"/>
      <c r="E219" s="20"/>
      <c r="F219" s="20"/>
      <c r="G219" s="20"/>
      <c r="H219" s="131">
        <f t="shared" si="148"/>
        <v>0</v>
      </c>
      <c r="I219" s="20"/>
      <c r="J219" s="20"/>
      <c r="K219" s="20"/>
      <c r="L219" s="20"/>
      <c r="M219" s="131"/>
      <c r="N219" s="20"/>
      <c r="O219" s="20"/>
      <c r="P219" s="20"/>
      <c r="Q219" s="20"/>
      <c r="R219" s="131"/>
      <c r="S219" s="222"/>
      <c r="T219" s="137"/>
      <c r="U219" s="137"/>
      <c r="V219" s="137"/>
      <c r="W219" s="137"/>
      <c r="X219" s="137"/>
      <c r="Y219" s="137"/>
      <c r="Z219" s="137"/>
      <c r="AA219" s="137"/>
      <c r="AB219" s="137"/>
      <c r="AC219" s="137"/>
      <c r="AD219" s="137"/>
      <c r="AE219" s="163"/>
      <c r="AF219" s="163"/>
      <c r="AG219" s="163"/>
      <c r="AH219" s="163"/>
      <c r="AI219" s="163"/>
      <c r="AJ219" s="163"/>
      <c r="AK219" s="163"/>
      <c r="AL219" s="163"/>
      <c r="AM219" s="163"/>
      <c r="AN219" s="163"/>
      <c r="AO219" s="163"/>
      <c r="AP219" s="163"/>
      <c r="AQ219" s="163"/>
      <c r="AR219" s="163"/>
      <c r="AS219" s="163"/>
      <c r="AT219" s="163"/>
      <c r="AU219" s="163"/>
      <c r="AV219" s="163"/>
      <c r="AW219" s="163"/>
      <c r="AX219" s="163"/>
      <c r="AY219" s="163"/>
      <c r="AZ219" s="163"/>
      <c r="BA219" s="163"/>
      <c r="BB219" s="163"/>
      <c r="BC219" s="163"/>
      <c r="BD219" s="163"/>
      <c r="BE219" s="163"/>
      <c r="BF219" s="163"/>
      <c r="BG219" s="163"/>
      <c r="BH219" s="163"/>
      <c r="BI219" s="163"/>
      <c r="BJ219" s="163"/>
      <c r="BK219" s="163"/>
      <c r="BL219" s="163"/>
      <c r="BM219" s="163"/>
      <c r="BN219" s="163"/>
      <c r="BO219" s="163"/>
      <c r="BP219" s="163"/>
      <c r="BQ219" s="163"/>
      <c r="BR219" s="163"/>
      <c r="BS219" s="163"/>
      <c r="BT219" s="163"/>
      <c r="BU219" s="163"/>
      <c r="BV219" s="163"/>
      <c r="BW219" s="163"/>
      <c r="BX219" s="163"/>
      <c r="BY219" s="163"/>
      <c r="BZ219" s="163"/>
      <c r="CA219" s="163"/>
      <c r="CB219" s="163"/>
      <c r="CC219" s="163"/>
      <c r="CD219" s="163"/>
      <c r="CE219" s="163"/>
      <c r="CF219" s="163"/>
      <c r="CG219" s="163"/>
      <c r="CH219" s="163"/>
      <c r="CI219" s="163"/>
    </row>
    <row r="220" spans="1:87" s="8" customFormat="1" x14ac:dyDescent="0.2">
      <c r="A220" s="264" t="s">
        <v>190</v>
      </c>
      <c r="B220" s="75">
        <v>15184</v>
      </c>
      <c r="C220" s="75">
        <v>21883</v>
      </c>
      <c r="D220" s="20">
        <v>6445</v>
      </c>
      <c r="E220" s="20">
        <v>5612</v>
      </c>
      <c r="F220" s="20">
        <v>6763</v>
      </c>
      <c r="G220" s="20">
        <v>25219</v>
      </c>
      <c r="H220" s="131">
        <f t="shared" si="148"/>
        <v>44039</v>
      </c>
      <c r="I220" s="20">
        <v>12823</v>
      </c>
      <c r="J220" s="20">
        <v>11844</v>
      </c>
      <c r="K220" s="20">
        <v>15978</v>
      </c>
      <c r="L220" s="20">
        <f>M220-K220-J220-I220</f>
        <v>16505</v>
      </c>
      <c r="M220" s="131">
        <v>57150</v>
      </c>
      <c r="N220" s="20">
        <v>19756</v>
      </c>
      <c r="O220" s="20">
        <v>19927</v>
      </c>
      <c r="P220" s="20">
        <v>20862</v>
      </c>
      <c r="Q220" s="20">
        <f>R220-P220-O220-N220</f>
        <v>14939</v>
      </c>
      <c r="R220" s="131">
        <v>75484</v>
      </c>
      <c r="S220" s="222">
        <v>29708</v>
      </c>
      <c r="T220" s="137"/>
      <c r="U220" s="137"/>
      <c r="V220" s="137"/>
      <c r="W220" s="137"/>
      <c r="X220" s="137"/>
      <c r="Y220" s="137"/>
      <c r="Z220" s="137"/>
      <c r="AA220" s="137"/>
      <c r="AB220" s="137"/>
      <c r="AC220" s="137"/>
      <c r="AD220" s="137"/>
      <c r="AE220" s="163"/>
      <c r="AF220" s="163"/>
      <c r="AG220" s="163"/>
      <c r="AH220" s="163"/>
      <c r="AI220" s="163"/>
      <c r="AJ220" s="163"/>
      <c r="AK220" s="163"/>
      <c r="AL220" s="163"/>
      <c r="AM220" s="163"/>
      <c r="AN220" s="163"/>
      <c r="AO220" s="163"/>
      <c r="AP220" s="163"/>
      <c r="AQ220" s="163"/>
      <c r="AR220" s="163"/>
      <c r="AS220" s="163"/>
      <c r="AT220" s="163"/>
      <c r="AU220" s="163"/>
      <c r="AV220" s="163"/>
      <c r="AW220" s="163"/>
      <c r="AX220" s="163"/>
      <c r="AY220" s="163"/>
      <c r="AZ220" s="163"/>
      <c r="BA220" s="163"/>
      <c r="BB220" s="163"/>
      <c r="BC220" s="163"/>
      <c r="BD220" s="163"/>
      <c r="BE220" s="163"/>
      <c r="BF220" s="163"/>
      <c r="BG220" s="163"/>
      <c r="BH220" s="163"/>
      <c r="BI220" s="163"/>
      <c r="BJ220" s="163"/>
      <c r="BK220" s="163"/>
      <c r="BL220" s="163"/>
      <c r="BM220" s="163"/>
      <c r="BN220" s="163"/>
      <c r="BO220" s="163"/>
      <c r="BP220" s="163"/>
      <c r="BQ220" s="163"/>
      <c r="BR220" s="163"/>
      <c r="BS220" s="163"/>
      <c r="BT220" s="163"/>
      <c r="BU220" s="163"/>
      <c r="BV220" s="163"/>
      <c r="BW220" s="163"/>
      <c r="BX220" s="163"/>
      <c r="BY220" s="163"/>
      <c r="BZ220" s="163"/>
      <c r="CA220" s="163"/>
      <c r="CB220" s="163"/>
      <c r="CC220" s="163"/>
      <c r="CD220" s="163"/>
      <c r="CE220" s="163"/>
      <c r="CF220" s="163"/>
      <c r="CG220" s="163"/>
      <c r="CH220" s="163"/>
      <c r="CI220" s="163"/>
    </row>
    <row r="221" spans="1:87" s="8" customFormat="1" x14ac:dyDescent="0.2">
      <c r="A221" s="264" t="s">
        <v>191</v>
      </c>
      <c r="B221" s="75">
        <v>10083</v>
      </c>
      <c r="C221" s="75">
        <v>6509</v>
      </c>
      <c r="D221" s="20">
        <v>1224</v>
      </c>
      <c r="E221" s="20">
        <v>1623</v>
      </c>
      <c r="F221" s="20">
        <v>1670</v>
      </c>
      <c r="G221" s="20">
        <v>1411</v>
      </c>
      <c r="H221" s="131">
        <f t="shared" si="148"/>
        <v>5928</v>
      </c>
      <c r="I221" s="20">
        <v>1183</v>
      </c>
      <c r="J221" s="20">
        <v>680</v>
      </c>
      <c r="K221" s="20">
        <v>1589</v>
      </c>
      <c r="L221" s="20">
        <f t="shared" ref="L221:L227" si="151">M221-K221-J221-I221</f>
        <v>630</v>
      </c>
      <c r="M221" s="131">
        <v>4082</v>
      </c>
      <c r="N221" s="20">
        <v>905</v>
      </c>
      <c r="O221" s="20">
        <v>1088</v>
      </c>
      <c r="P221" s="20">
        <v>1488</v>
      </c>
      <c r="Q221" s="20">
        <f>R221-P221-O221-N221</f>
        <v>674</v>
      </c>
      <c r="R221" s="131">
        <v>4155</v>
      </c>
      <c r="S221" s="222">
        <v>1329</v>
      </c>
      <c r="T221" s="137"/>
      <c r="U221" s="137"/>
      <c r="V221" s="137"/>
      <c r="W221" s="137"/>
      <c r="X221" s="137"/>
      <c r="Y221" s="137"/>
      <c r="Z221" s="137"/>
      <c r="AA221" s="137"/>
      <c r="AB221" s="137"/>
      <c r="AC221" s="137"/>
      <c r="AD221" s="137"/>
      <c r="AE221" s="163"/>
      <c r="AF221" s="163"/>
      <c r="AG221" s="163"/>
      <c r="AH221" s="163"/>
      <c r="AI221" s="163"/>
      <c r="AJ221" s="163"/>
      <c r="AK221" s="163"/>
      <c r="AL221" s="163"/>
      <c r="AM221" s="163"/>
      <c r="AN221" s="163"/>
      <c r="AO221" s="163"/>
      <c r="AP221" s="163"/>
      <c r="AQ221" s="163"/>
      <c r="AR221" s="163"/>
      <c r="AS221" s="163"/>
      <c r="AT221" s="163"/>
      <c r="AU221" s="163"/>
      <c r="AV221" s="163"/>
      <c r="AW221" s="163"/>
      <c r="AX221" s="163"/>
      <c r="AY221" s="163"/>
      <c r="AZ221" s="163"/>
      <c r="BA221" s="163"/>
      <c r="BB221" s="163"/>
      <c r="BC221" s="163"/>
      <c r="BD221" s="163"/>
      <c r="BE221" s="163"/>
      <c r="BF221" s="163"/>
      <c r="BG221" s="163"/>
      <c r="BH221" s="163"/>
      <c r="BI221" s="163"/>
      <c r="BJ221" s="163"/>
      <c r="BK221" s="163"/>
      <c r="BL221" s="163"/>
      <c r="BM221" s="163"/>
      <c r="BN221" s="163"/>
      <c r="BO221" s="163"/>
      <c r="BP221" s="163"/>
      <c r="BQ221" s="163"/>
      <c r="BR221" s="163"/>
      <c r="BS221" s="163"/>
      <c r="BT221" s="163"/>
      <c r="BU221" s="163"/>
      <c r="BV221" s="163"/>
      <c r="BW221" s="163"/>
      <c r="BX221" s="163"/>
      <c r="BY221" s="163"/>
      <c r="BZ221" s="163"/>
      <c r="CA221" s="163"/>
      <c r="CB221" s="163"/>
      <c r="CC221" s="163"/>
      <c r="CD221" s="163"/>
      <c r="CE221" s="163"/>
      <c r="CF221" s="163"/>
      <c r="CG221" s="163"/>
      <c r="CH221" s="163"/>
      <c r="CI221" s="163"/>
    </row>
    <row r="222" spans="1:87" s="8" customFormat="1" x14ac:dyDescent="0.2">
      <c r="A222" s="264" t="s">
        <v>192</v>
      </c>
      <c r="B222" s="75">
        <v>2954</v>
      </c>
      <c r="C222" s="75">
        <v>12527</v>
      </c>
      <c r="D222" s="20">
        <v>3516</v>
      </c>
      <c r="E222" s="20">
        <v>3120</v>
      </c>
      <c r="F222" s="20">
        <v>4341</v>
      </c>
      <c r="G222" s="20">
        <v>5205</v>
      </c>
      <c r="H222" s="131">
        <f t="shared" si="148"/>
        <v>16182</v>
      </c>
      <c r="I222" s="20">
        <v>4775</v>
      </c>
      <c r="J222" s="20">
        <v>4098</v>
      </c>
      <c r="K222" s="20">
        <v>4215</v>
      </c>
      <c r="L222" s="20">
        <f t="shared" si="151"/>
        <v>7020</v>
      </c>
      <c r="M222" s="131">
        <v>20108</v>
      </c>
      <c r="N222" s="20">
        <v>3763</v>
      </c>
      <c r="O222" s="20">
        <v>5247</v>
      </c>
      <c r="P222" s="20">
        <v>6063</v>
      </c>
      <c r="Q222" s="20">
        <f>R222-P222-O222-N222</f>
        <v>9246</v>
      </c>
      <c r="R222" s="131">
        <v>24319</v>
      </c>
      <c r="S222" s="222">
        <v>13820</v>
      </c>
      <c r="T222" s="137"/>
      <c r="U222" s="137"/>
      <c r="V222" s="137"/>
      <c r="W222" s="137"/>
      <c r="X222" s="137"/>
      <c r="Y222" s="137"/>
      <c r="Z222" s="137"/>
      <c r="AA222" s="137"/>
      <c r="AB222" s="137"/>
      <c r="AC222" s="137"/>
      <c r="AD222" s="137"/>
      <c r="AE222" s="163"/>
      <c r="AF222" s="163"/>
      <c r="AG222" s="163"/>
      <c r="AH222" s="163"/>
      <c r="AI222" s="163"/>
      <c r="AJ222" s="163"/>
      <c r="AK222" s="163"/>
      <c r="AL222" s="163"/>
      <c r="AM222" s="163"/>
      <c r="AN222" s="163"/>
      <c r="AO222" s="163"/>
      <c r="AP222" s="163"/>
      <c r="AQ222" s="163"/>
      <c r="AR222" s="163"/>
      <c r="AS222" s="163"/>
      <c r="AT222" s="163"/>
      <c r="AU222" s="163"/>
      <c r="AV222" s="163"/>
      <c r="AW222" s="163"/>
      <c r="AX222" s="163"/>
      <c r="AY222" s="163"/>
      <c r="AZ222" s="163"/>
      <c r="BA222" s="163"/>
      <c r="BB222" s="163"/>
      <c r="BC222" s="163"/>
      <c r="BD222" s="163"/>
      <c r="BE222" s="163"/>
      <c r="BF222" s="163"/>
      <c r="BG222" s="163"/>
      <c r="BH222" s="163"/>
      <c r="BI222" s="163"/>
      <c r="BJ222" s="163"/>
      <c r="BK222" s="163"/>
      <c r="BL222" s="163"/>
      <c r="BM222" s="163"/>
      <c r="BN222" s="163"/>
      <c r="BO222" s="163"/>
      <c r="BP222" s="163"/>
      <c r="BQ222" s="163"/>
      <c r="BR222" s="163"/>
      <c r="BS222" s="163"/>
      <c r="BT222" s="163"/>
      <c r="BU222" s="163"/>
      <c r="BV222" s="163"/>
      <c r="BW222" s="163"/>
      <c r="BX222" s="163"/>
      <c r="BY222" s="163"/>
      <c r="BZ222" s="163"/>
      <c r="CA222" s="163"/>
      <c r="CB222" s="163"/>
      <c r="CC222" s="163"/>
      <c r="CD222" s="163"/>
      <c r="CE222" s="163"/>
      <c r="CF222" s="163"/>
      <c r="CG222" s="163"/>
      <c r="CH222" s="163"/>
      <c r="CI222" s="163"/>
    </row>
    <row r="223" spans="1:87" s="8" customFormat="1" x14ac:dyDescent="0.2">
      <c r="A223" s="264" t="s">
        <v>193</v>
      </c>
      <c r="B223" s="75">
        <v>9736</v>
      </c>
      <c r="C223" s="75">
        <v>10706</v>
      </c>
      <c r="D223" s="20">
        <v>3312</v>
      </c>
      <c r="E223" s="20">
        <v>2731</v>
      </c>
      <c r="F223" s="20">
        <v>3358</v>
      </c>
      <c r="G223" s="20">
        <v>11048</v>
      </c>
      <c r="H223" s="131">
        <f t="shared" si="148"/>
        <v>20449</v>
      </c>
      <c r="I223" s="20">
        <v>4951</v>
      </c>
      <c r="J223" s="20">
        <v>4055</v>
      </c>
      <c r="K223" s="20">
        <v>5708</v>
      </c>
      <c r="L223" s="20">
        <f t="shared" si="151"/>
        <v>5009</v>
      </c>
      <c r="M223" s="131">
        <v>19723</v>
      </c>
      <c r="N223" s="20">
        <v>6920</v>
      </c>
      <c r="O223" s="20">
        <v>5509</v>
      </c>
      <c r="P223" s="20">
        <v>6460</v>
      </c>
      <c r="Q223" s="20">
        <f>R223-P223-O223-N223</f>
        <v>5552</v>
      </c>
      <c r="R223" s="131">
        <v>24441</v>
      </c>
      <c r="S223" s="222">
        <v>7480</v>
      </c>
      <c r="T223" s="137"/>
      <c r="U223" s="137"/>
      <c r="V223" s="137"/>
      <c r="W223" s="137"/>
      <c r="X223" s="137"/>
      <c r="Y223" s="137"/>
      <c r="Z223" s="137"/>
      <c r="AA223" s="137"/>
      <c r="AB223" s="137"/>
      <c r="AC223" s="137"/>
      <c r="AD223" s="137"/>
      <c r="AE223" s="163"/>
      <c r="AF223" s="163"/>
      <c r="AG223" s="163"/>
      <c r="AH223" s="163"/>
      <c r="AI223" s="163"/>
      <c r="AJ223" s="163"/>
      <c r="AK223" s="163"/>
      <c r="AL223" s="163"/>
      <c r="AM223" s="163"/>
      <c r="AN223" s="163"/>
      <c r="AO223" s="163"/>
      <c r="AP223" s="163"/>
      <c r="AQ223" s="163"/>
      <c r="AR223" s="163"/>
      <c r="AS223" s="163"/>
      <c r="AT223" s="163"/>
      <c r="AU223" s="163"/>
      <c r="AV223" s="163"/>
      <c r="AW223" s="163"/>
      <c r="AX223" s="163"/>
      <c r="AY223" s="163"/>
      <c r="AZ223" s="163"/>
      <c r="BA223" s="163"/>
      <c r="BB223" s="163"/>
      <c r="BC223" s="163"/>
      <c r="BD223" s="163"/>
      <c r="BE223" s="163"/>
      <c r="BF223" s="163"/>
      <c r="BG223" s="163"/>
      <c r="BH223" s="163"/>
      <c r="BI223" s="163"/>
      <c r="BJ223" s="163"/>
      <c r="BK223" s="163"/>
      <c r="BL223" s="163"/>
      <c r="BM223" s="163"/>
      <c r="BN223" s="163"/>
      <c r="BO223" s="163"/>
      <c r="BP223" s="163"/>
      <c r="BQ223" s="163"/>
      <c r="BR223" s="163"/>
      <c r="BS223" s="163"/>
      <c r="BT223" s="163"/>
      <c r="BU223" s="163"/>
      <c r="BV223" s="163"/>
      <c r="BW223" s="163"/>
      <c r="BX223" s="163"/>
      <c r="BY223" s="163"/>
      <c r="BZ223" s="163"/>
      <c r="CA223" s="163"/>
      <c r="CB223" s="163"/>
      <c r="CC223" s="163"/>
      <c r="CD223" s="163"/>
      <c r="CE223" s="163"/>
      <c r="CF223" s="163"/>
      <c r="CG223" s="163"/>
      <c r="CH223" s="163"/>
      <c r="CI223" s="163"/>
    </row>
    <row r="224" spans="1:87" s="8" customFormat="1" x14ac:dyDescent="0.2">
      <c r="A224" s="264" t="s">
        <v>186</v>
      </c>
      <c r="B224" s="75">
        <v>57841</v>
      </c>
      <c r="C224" s="75">
        <v>90291</v>
      </c>
      <c r="D224" s="20">
        <v>27618</v>
      </c>
      <c r="E224" s="20">
        <v>31821</v>
      </c>
      <c r="F224" s="20">
        <v>34022</v>
      </c>
      <c r="G224" s="20">
        <v>36804</v>
      </c>
      <c r="H224" s="131">
        <f t="shared" si="148"/>
        <v>130265</v>
      </c>
      <c r="I224" s="20">
        <v>39154</v>
      </c>
      <c r="J224" s="20">
        <v>41891</v>
      </c>
      <c r="K224" s="20">
        <v>45450</v>
      </c>
      <c r="L224" s="20">
        <f t="shared" si="151"/>
        <v>50302</v>
      </c>
      <c r="M224" s="131">
        <v>176797</v>
      </c>
      <c r="N224" s="20">
        <v>52294</v>
      </c>
      <c r="O224" s="20">
        <v>60367</v>
      </c>
      <c r="P224" s="20">
        <v>63272</v>
      </c>
      <c r="Q224" s="20">
        <f>R224-P224-O224-N224</f>
        <v>70072</v>
      </c>
      <c r="R224" s="131">
        <v>246005</v>
      </c>
      <c r="S224" s="222">
        <v>79939</v>
      </c>
      <c r="T224" s="137"/>
      <c r="U224" s="137"/>
      <c r="V224" s="137"/>
      <c r="W224" s="137"/>
      <c r="X224" s="137"/>
      <c r="Y224" s="137"/>
      <c r="Z224" s="137"/>
      <c r="AA224" s="137"/>
      <c r="AB224" s="137"/>
      <c r="AC224" s="137"/>
      <c r="AD224" s="137"/>
      <c r="AE224" s="163"/>
      <c r="AF224" s="163"/>
      <c r="AG224" s="163"/>
      <c r="AH224" s="163"/>
      <c r="AI224" s="163"/>
      <c r="AJ224" s="163"/>
      <c r="AK224" s="163"/>
      <c r="AL224" s="163"/>
      <c r="AM224" s="163"/>
      <c r="AN224" s="163"/>
      <c r="AO224" s="163"/>
      <c r="AP224" s="163"/>
      <c r="AQ224" s="163"/>
      <c r="AR224" s="163"/>
      <c r="AS224" s="163"/>
      <c r="AT224" s="163"/>
      <c r="AU224" s="163"/>
      <c r="AV224" s="163"/>
      <c r="AW224" s="163"/>
      <c r="AX224" s="163"/>
      <c r="AY224" s="163"/>
      <c r="AZ224" s="163"/>
      <c r="BA224" s="163"/>
      <c r="BB224" s="163"/>
      <c r="BC224" s="163"/>
      <c r="BD224" s="163"/>
      <c r="BE224" s="163"/>
      <c r="BF224" s="163"/>
      <c r="BG224" s="163"/>
      <c r="BH224" s="163"/>
      <c r="BI224" s="163"/>
      <c r="BJ224" s="163"/>
      <c r="BK224" s="163"/>
      <c r="BL224" s="163"/>
      <c r="BM224" s="163"/>
      <c r="BN224" s="163"/>
      <c r="BO224" s="163"/>
      <c r="BP224" s="163"/>
      <c r="BQ224" s="163"/>
      <c r="BR224" s="163"/>
      <c r="BS224" s="163"/>
      <c r="BT224" s="163"/>
      <c r="BU224" s="163"/>
      <c r="BV224" s="163"/>
      <c r="BW224" s="163"/>
      <c r="BX224" s="163"/>
      <c r="BY224" s="163"/>
      <c r="BZ224" s="163"/>
      <c r="CA224" s="163"/>
      <c r="CB224" s="163"/>
      <c r="CC224" s="163"/>
      <c r="CD224" s="163"/>
      <c r="CE224" s="163"/>
      <c r="CF224" s="163"/>
      <c r="CG224" s="163"/>
      <c r="CH224" s="163"/>
      <c r="CI224" s="163"/>
    </row>
    <row r="225" spans="1:87" s="8" customFormat="1" x14ac:dyDescent="0.2">
      <c r="A225" s="264" t="s">
        <v>194</v>
      </c>
      <c r="B225" s="75">
        <v>3358</v>
      </c>
      <c r="C225" s="75">
        <v>3871</v>
      </c>
      <c r="D225" s="20">
        <v>903</v>
      </c>
      <c r="E225" s="20">
        <v>1044</v>
      </c>
      <c r="F225" s="20">
        <v>534</v>
      </c>
      <c r="G225" s="20">
        <v>623</v>
      </c>
      <c r="H225" s="131">
        <f t="shared" si="148"/>
        <v>3104</v>
      </c>
      <c r="I225" s="20"/>
      <c r="J225" s="20"/>
      <c r="K225" s="20"/>
      <c r="L225" s="20"/>
      <c r="M225" s="131">
        <f>SUM(I225:L225)</f>
        <v>0</v>
      </c>
      <c r="N225" s="20"/>
      <c r="O225" s="20"/>
      <c r="P225" s="20"/>
      <c r="Q225" s="20"/>
      <c r="R225" s="131">
        <f t="shared" ref="R225" si="152">SUM(N225:Q225)</f>
        <v>0</v>
      </c>
      <c r="S225" s="222"/>
      <c r="T225" s="137"/>
      <c r="U225" s="137"/>
      <c r="V225" s="137"/>
      <c r="W225" s="137"/>
      <c r="X225" s="137"/>
      <c r="Y225" s="137"/>
      <c r="Z225" s="137"/>
      <c r="AA225" s="137"/>
      <c r="AB225" s="137"/>
      <c r="AC225" s="137"/>
      <c r="AD225" s="137"/>
      <c r="AE225" s="163"/>
      <c r="AF225" s="163"/>
      <c r="AG225" s="163"/>
      <c r="AH225" s="163"/>
      <c r="AI225" s="163"/>
      <c r="AJ225" s="163"/>
      <c r="AK225" s="163"/>
      <c r="AL225" s="163"/>
      <c r="AM225" s="163"/>
      <c r="AN225" s="163"/>
      <c r="AO225" s="163"/>
      <c r="AP225" s="163"/>
      <c r="AQ225" s="163"/>
      <c r="AR225" s="163"/>
      <c r="AS225" s="163"/>
      <c r="AT225" s="163"/>
      <c r="AU225" s="163"/>
      <c r="AV225" s="163"/>
      <c r="AW225" s="163"/>
      <c r="AX225" s="163"/>
      <c r="AY225" s="163"/>
      <c r="AZ225" s="163"/>
      <c r="BA225" s="163"/>
      <c r="BB225" s="163"/>
      <c r="BC225" s="163"/>
      <c r="BD225" s="163"/>
      <c r="BE225" s="163"/>
      <c r="BF225" s="163"/>
      <c r="BG225" s="163"/>
      <c r="BH225" s="163"/>
      <c r="BI225" s="163"/>
      <c r="BJ225" s="163"/>
      <c r="BK225" s="163"/>
      <c r="BL225" s="163"/>
      <c r="BM225" s="163"/>
      <c r="BN225" s="163"/>
      <c r="BO225" s="163"/>
      <c r="BP225" s="163"/>
      <c r="BQ225" s="163"/>
      <c r="BR225" s="163"/>
      <c r="BS225" s="163"/>
      <c r="BT225" s="163"/>
      <c r="BU225" s="163"/>
      <c r="BV225" s="163"/>
      <c r="BW225" s="163"/>
      <c r="BX225" s="163"/>
      <c r="BY225" s="163"/>
      <c r="BZ225" s="163"/>
      <c r="CA225" s="163"/>
      <c r="CB225" s="163"/>
      <c r="CC225" s="163"/>
      <c r="CD225" s="163"/>
      <c r="CE225" s="163"/>
      <c r="CF225" s="163"/>
      <c r="CG225" s="163"/>
      <c r="CH225" s="163"/>
      <c r="CI225" s="163"/>
    </row>
    <row r="226" spans="1:87" s="8" customFormat="1" x14ac:dyDescent="0.2">
      <c r="A226" s="264" t="s">
        <v>187</v>
      </c>
      <c r="B226" s="75">
        <v>7110</v>
      </c>
      <c r="C226" s="75">
        <v>11860</v>
      </c>
      <c r="D226" s="20">
        <v>4930</v>
      </c>
      <c r="E226" s="20">
        <v>4420</v>
      </c>
      <c r="F226" s="20">
        <v>4714</v>
      </c>
      <c r="G226" s="20">
        <v>5124</v>
      </c>
      <c r="H226" s="131">
        <f t="shared" si="148"/>
        <v>19188</v>
      </c>
      <c r="I226" s="20">
        <v>5458</v>
      </c>
      <c r="J226" s="20">
        <v>5735</v>
      </c>
      <c r="K226" s="20">
        <v>6514</v>
      </c>
      <c r="L226" s="20">
        <f t="shared" si="151"/>
        <v>6701</v>
      </c>
      <c r="M226" s="131">
        <v>24408</v>
      </c>
      <c r="N226" s="20">
        <v>7500</v>
      </c>
      <c r="O226" s="20">
        <v>8149</v>
      </c>
      <c r="P226" s="20">
        <v>8983</v>
      </c>
      <c r="Q226" s="20">
        <f>R226-P226-O226-N226</f>
        <v>9054</v>
      </c>
      <c r="R226" s="131">
        <v>33686</v>
      </c>
      <c r="S226" s="222">
        <v>9061</v>
      </c>
      <c r="T226" s="137"/>
      <c r="U226" s="137"/>
      <c r="V226" s="137"/>
      <c r="W226" s="137"/>
      <c r="X226" s="137"/>
      <c r="Y226" s="137"/>
      <c r="Z226" s="137"/>
      <c r="AA226" s="137"/>
      <c r="AB226" s="137"/>
      <c r="AC226" s="137"/>
      <c r="AD226" s="137"/>
      <c r="AE226" s="163"/>
      <c r="AF226" s="163"/>
      <c r="AG226" s="163"/>
      <c r="AH226" s="163"/>
      <c r="AI226" s="163"/>
      <c r="AJ226" s="163"/>
      <c r="AK226" s="163"/>
      <c r="AL226" s="163"/>
      <c r="AM226" s="163"/>
      <c r="AN226" s="163"/>
      <c r="AO226" s="163"/>
      <c r="AP226" s="163"/>
      <c r="AQ226" s="163"/>
      <c r="AR226" s="163"/>
      <c r="AS226" s="163"/>
      <c r="AT226" s="163"/>
      <c r="AU226" s="163"/>
      <c r="AV226" s="163"/>
      <c r="AW226" s="163"/>
      <c r="AX226" s="163"/>
      <c r="AY226" s="163"/>
      <c r="AZ226" s="163"/>
      <c r="BA226" s="163"/>
      <c r="BB226" s="163"/>
      <c r="BC226" s="163"/>
      <c r="BD226" s="163"/>
      <c r="BE226" s="163"/>
      <c r="BF226" s="163"/>
      <c r="BG226" s="163"/>
      <c r="BH226" s="163"/>
      <c r="BI226" s="163"/>
      <c r="BJ226" s="163"/>
      <c r="BK226" s="163"/>
      <c r="BL226" s="163"/>
      <c r="BM226" s="163"/>
      <c r="BN226" s="163"/>
      <c r="BO226" s="163"/>
      <c r="BP226" s="163"/>
      <c r="BQ226" s="163"/>
      <c r="BR226" s="163"/>
      <c r="BS226" s="163"/>
      <c r="BT226" s="163"/>
      <c r="BU226" s="163"/>
      <c r="BV226" s="163"/>
      <c r="BW226" s="163"/>
      <c r="BX226" s="163"/>
      <c r="BY226" s="163"/>
      <c r="BZ226" s="163"/>
      <c r="CA226" s="163"/>
      <c r="CB226" s="163"/>
      <c r="CC226" s="163"/>
      <c r="CD226" s="163"/>
      <c r="CE226" s="163"/>
      <c r="CF226" s="163"/>
      <c r="CG226" s="163"/>
      <c r="CH226" s="163"/>
      <c r="CI226" s="163"/>
    </row>
    <row r="227" spans="1:87" s="21" customFormat="1" x14ac:dyDescent="0.2">
      <c r="A227" s="265" t="s">
        <v>188</v>
      </c>
      <c r="B227" s="81">
        <v>3020</v>
      </c>
      <c r="C227" s="81">
        <v>9306</v>
      </c>
      <c r="D227" s="21">
        <v>2471</v>
      </c>
      <c r="E227" s="21">
        <v>1419</v>
      </c>
      <c r="F227" s="21">
        <v>3692</v>
      </c>
      <c r="G227" s="21">
        <v>2462</v>
      </c>
      <c r="H227" s="53">
        <f t="shared" si="148"/>
        <v>10044</v>
      </c>
      <c r="I227" s="21">
        <f>1996+927</f>
        <v>2923</v>
      </c>
      <c r="J227" s="21">
        <f>1954+512</f>
        <v>2466</v>
      </c>
      <c r="K227" s="21">
        <v>2582</v>
      </c>
      <c r="L227" s="21">
        <f t="shared" si="151"/>
        <v>4212</v>
      </c>
      <c r="M227" s="53">
        <v>12183</v>
      </c>
      <c r="N227" s="21">
        <v>4882</v>
      </c>
      <c r="O227" s="21">
        <v>5980</v>
      </c>
      <c r="P227" s="21">
        <v>3370</v>
      </c>
      <c r="Q227" s="21">
        <f>R227-P227-O227-N227</f>
        <v>4132</v>
      </c>
      <c r="R227" s="131">
        <v>18364</v>
      </c>
      <c r="S227" s="309">
        <v>729</v>
      </c>
      <c r="T227" s="137"/>
      <c r="U227" s="137"/>
      <c r="V227" s="137"/>
      <c r="W227" s="137"/>
      <c r="X227" s="137"/>
      <c r="Y227" s="137"/>
      <c r="Z227" s="137"/>
      <c r="AA227" s="137"/>
      <c r="AB227" s="137"/>
      <c r="AC227" s="137"/>
      <c r="AD227" s="137"/>
      <c r="AE227" s="163"/>
      <c r="AF227" s="163"/>
      <c r="AG227" s="163"/>
      <c r="AH227" s="163"/>
      <c r="AI227" s="163"/>
      <c r="AJ227" s="163"/>
      <c r="AK227" s="163"/>
      <c r="AL227" s="163"/>
      <c r="AM227" s="163"/>
      <c r="AN227" s="163"/>
      <c r="AO227" s="163"/>
      <c r="AP227" s="163"/>
      <c r="AQ227" s="163"/>
      <c r="AR227" s="163"/>
      <c r="AS227" s="163"/>
      <c r="AT227" s="163"/>
      <c r="AU227" s="163"/>
      <c r="AV227" s="163"/>
      <c r="AW227" s="163"/>
      <c r="AX227" s="163"/>
      <c r="AY227" s="163"/>
      <c r="AZ227" s="163"/>
      <c r="BA227" s="163"/>
      <c r="BB227" s="163"/>
      <c r="BC227" s="163"/>
      <c r="BD227" s="163"/>
      <c r="BE227" s="163"/>
      <c r="BF227" s="163"/>
      <c r="BG227" s="163"/>
      <c r="BH227" s="163"/>
      <c r="BI227" s="163"/>
      <c r="BJ227" s="163"/>
      <c r="BK227" s="163"/>
      <c r="BL227" s="163"/>
      <c r="BM227" s="163"/>
      <c r="BN227" s="163"/>
      <c r="BO227" s="163"/>
      <c r="BP227" s="163"/>
      <c r="BQ227" s="163"/>
      <c r="BR227" s="163"/>
      <c r="BS227" s="163"/>
      <c r="BT227" s="163"/>
      <c r="BU227" s="163"/>
      <c r="BV227" s="163"/>
      <c r="BW227" s="163"/>
      <c r="BX227" s="163"/>
      <c r="BY227" s="163"/>
      <c r="BZ227" s="163"/>
      <c r="CA227" s="163"/>
      <c r="CB227" s="163"/>
      <c r="CC227" s="163"/>
      <c r="CD227" s="163"/>
      <c r="CE227" s="163"/>
      <c r="CF227" s="163"/>
      <c r="CG227" s="163"/>
      <c r="CH227" s="163"/>
      <c r="CI227" s="163"/>
    </row>
    <row r="228" spans="1:87" s="36" customFormat="1" x14ac:dyDescent="0.2">
      <c r="A228" s="310" t="s">
        <v>195</v>
      </c>
      <c r="B228" s="82">
        <v>109286</v>
      </c>
      <c r="C228" s="82">
        <v>166953</v>
      </c>
      <c r="D228" s="36">
        <f>SUM(D220:D227)</f>
        <v>50419</v>
      </c>
      <c r="E228" s="36">
        <f>SUM(E220:E227)</f>
        <v>51790</v>
      </c>
      <c r="F228" s="36">
        <f>SUM(F220:F227)</f>
        <v>59094</v>
      </c>
      <c r="G228" s="36">
        <f>SUM(G220:G227)</f>
        <v>87896</v>
      </c>
      <c r="H228" s="54">
        <f t="shared" si="148"/>
        <v>249199</v>
      </c>
      <c r="I228" s="36">
        <f t="shared" ref="I228:N228" si="153">SUM(I220:I227)</f>
        <v>71267</v>
      </c>
      <c r="J228" s="36">
        <f t="shared" si="153"/>
        <v>70769</v>
      </c>
      <c r="K228" s="36">
        <f t="shared" si="153"/>
        <v>82036</v>
      </c>
      <c r="L228" s="36">
        <f t="shared" si="153"/>
        <v>90379</v>
      </c>
      <c r="M228" s="54">
        <f t="shared" si="153"/>
        <v>314451</v>
      </c>
      <c r="N228" s="36">
        <f t="shared" si="153"/>
        <v>96020</v>
      </c>
      <c r="O228" s="36">
        <f t="shared" ref="O228:S228" si="154">SUM(O220:O227)</f>
        <v>106267</v>
      </c>
      <c r="P228" s="36">
        <f t="shared" si="154"/>
        <v>110498</v>
      </c>
      <c r="Q228" s="36">
        <f t="shared" si="154"/>
        <v>113669</v>
      </c>
      <c r="R228" s="54">
        <f>SUM(R220:R227)</f>
        <v>426454</v>
      </c>
      <c r="S228" s="311">
        <f t="shared" si="154"/>
        <v>142066</v>
      </c>
      <c r="T228" s="137"/>
      <c r="U228" s="137"/>
      <c r="V228" s="137"/>
      <c r="W228" s="137"/>
      <c r="X228" s="137"/>
      <c r="Y228" s="137"/>
      <c r="Z228" s="137"/>
      <c r="AA228" s="137"/>
      <c r="AB228" s="137"/>
      <c r="AC228" s="137"/>
      <c r="AD228" s="137"/>
      <c r="AE228" s="163"/>
      <c r="AF228" s="163"/>
      <c r="AG228" s="163"/>
      <c r="AH228" s="163"/>
      <c r="AI228" s="163"/>
      <c r="AJ228" s="163"/>
      <c r="AK228" s="163"/>
      <c r="AL228" s="163"/>
      <c r="AM228" s="163"/>
      <c r="AN228" s="163"/>
      <c r="AO228" s="163"/>
      <c r="AP228" s="163"/>
      <c r="AQ228" s="163"/>
      <c r="AR228" s="163"/>
      <c r="AS228" s="163"/>
      <c r="AT228" s="163"/>
      <c r="AU228" s="163"/>
      <c r="AV228" s="163"/>
      <c r="AW228" s="163"/>
      <c r="AX228" s="163"/>
      <c r="AY228" s="163"/>
      <c r="AZ228" s="163"/>
      <c r="BA228" s="163"/>
      <c r="BB228" s="163"/>
      <c r="BC228" s="163"/>
      <c r="BD228" s="163"/>
      <c r="BE228" s="163"/>
      <c r="BF228" s="163"/>
      <c r="BG228" s="163"/>
      <c r="BH228" s="163"/>
      <c r="BI228" s="163"/>
      <c r="BJ228" s="163"/>
      <c r="BK228" s="163"/>
      <c r="BL228" s="163"/>
      <c r="BM228" s="163"/>
      <c r="BN228" s="163"/>
      <c r="BO228" s="163"/>
      <c r="BP228" s="163"/>
      <c r="BQ228" s="163"/>
      <c r="BR228" s="163"/>
      <c r="BS228" s="163"/>
      <c r="BT228" s="163"/>
      <c r="BU228" s="163"/>
      <c r="BV228" s="163"/>
      <c r="BW228" s="163"/>
      <c r="BX228" s="163"/>
      <c r="BY228" s="163"/>
      <c r="BZ228" s="163"/>
      <c r="CA228" s="163"/>
      <c r="CB228" s="163"/>
      <c r="CC228" s="163"/>
      <c r="CD228" s="163"/>
      <c r="CE228" s="163"/>
      <c r="CF228" s="163"/>
      <c r="CG228" s="163"/>
      <c r="CH228" s="163"/>
      <c r="CI228" s="163"/>
    </row>
    <row r="229" spans="1:87" s="8" customFormat="1" x14ac:dyDescent="0.2">
      <c r="A229" s="264" t="s">
        <v>196</v>
      </c>
      <c r="B229" s="75">
        <v>343798</v>
      </c>
      <c r="C229" s="75">
        <v>420068</v>
      </c>
      <c r="D229" s="20">
        <f t="shared" ref="D229:E229" si="155">D228+D218</f>
        <v>115810</v>
      </c>
      <c r="E229" s="20">
        <f t="shared" si="155"/>
        <v>112362</v>
      </c>
      <c r="F229" s="20">
        <f t="shared" ref="F229:G229" si="156">F228+F218</f>
        <v>130837</v>
      </c>
      <c r="G229" s="20">
        <f t="shared" si="156"/>
        <v>171851</v>
      </c>
      <c r="H229" s="131">
        <f t="shared" si="148"/>
        <v>530860</v>
      </c>
      <c r="I229" s="20">
        <f t="shared" ref="I229:J229" si="157">I228+I218</f>
        <v>147162</v>
      </c>
      <c r="J229" s="20">
        <f t="shared" si="157"/>
        <v>141259</v>
      </c>
      <c r="K229" s="20">
        <f>K228+K218</f>
        <v>166442</v>
      </c>
      <c r="L229" s="20">
        <f>L228+L218</f>
        <v>226140</v>
      </c>
      <c r="M229" s="131">
        <f t="shared" ref="M229" si="158">SUM(I229:L229)</f>
        <v>681003</v>
      </c>
      <c r="N229" s="20">
        <f>N228+N218</f>
        <v>195019</v>
      </c>
      <c r="O229" s="20">
        <f>O228+O218</f>
        <v>218795</v>
      </c>
      <c r="P229" s="20">
        <f t="shared" ref="P229:S229" si="159">P228+P218</f>
        <v>231989</v>
      </c>
      <c r="Q229" s="20">
        <f t="shared" si="159"/>
        <v>217578</v>
      </c>
      <c r="R229" s="131">
        <f t="shared" ref="R229" si="160">SUM(N229:Q229)</f>
        <v>863381</v>
      </c>
      <c r="S229" s="222">
        <f t="shared" si="159"/>
        <v>256426</v>
      </c>
      <c r="T229" s="137"/>
      <c r="U229" s="137"/>
      <c r="V229" s="137"/>
      <c r="W229" s="137"/>
      <c r="X229" s="137"/>
      <c r="Y229" s="137"/>
      <c r="Z229" s="137"/>
      <c r="AA229" s="137"/>
      <c r="AB229" s="137"/>
      <c r="AC229" s="137"/>
      <c r="AD229" s="137"/>
      <c r="AE229" s="163"/>
      <c r="AF229" s="163"/>
      <c r="AG229" s="163"/>
      <c r="AH229" s="163"/>
      <c r="AI229" s="163"/>
      <c r="AJ229" s="163"/>
      <c r="AK229" s="163"/>
      <c r="AL229" s="163"/>
      <c r="AM229" s="163"/>
      <c r="AN229" s="163"/>
      <c r="AO229" s="163"/>
      <c r="AP229" s="163"/>
      <c r="AQ229" s="163"/>
      <c r="AR229" s="163"/>
      <c r="AS229" s="163"/>
      <c r="AT229" s="163"/>
      <c r="AU229" s="163"/>
      <c r="AV229" s="163"/>
      <c r="AW229" s="163"/>
      <c r="AX229" s="163"/>
      <c r="AY229" s="163"/>
      <c r="AZ229" s="163"/>
      <c r="BA229" s="163"/>
      <c r="BB229" s="163"/>
      <c r="BC229" s="163"/>
      <c r="BD229" s="163"/>
      <c r="BE229" s="163"/>
      <c r="BF229" s="163"/>
      <c r="BG229" s="163"/>
      <c r="BH229" s="163"/>
      <c r="BI229" s="163"/>
      <c r="BJ229" s="163"/>
      <c r="BK229" s="163"/>
      <c r="BL229" s="163"/>
      <c r="BM229" s="163"/>
      <c r="BN229" s="163"/>
      <c r="BO229" s="163"/>
      <c r="BP229" s="163"/>
      <c r="BQ229" s="163"/>
      <c r="BR229" s="163"/>
      <c r="BS229" s="163"/>
      <c r="BT229" s="163"/>
      <c r="BU229" s="163"/>
      <c r="BV229" s="163"/>
      <c r="BW229" s="163"/>
      <c r="BX229" s="163"/>
      <c r="BY229" s="163"/>
      <c r="BZ229" s="163"/>
      <c r="CA229" s="163"/>
      <c r="CB229" s="163"/>
      <c r="CC229" s="163"/>
      <c r="CD229" s="163"/>
      <c r="CE229" s="163"/>
      <c r="CF229" s="163"/>
      <c r="CG229" s="163"/>
      <c r="CH229" s="163"/>
      <c r="CI229" s="163"/>
    </row>
    <row r="230" spans="1:87" x14ac:dyDescent="0.2">
      <c r="A230" s="240"/>
      <c r="D230" s="241"/>
      <c r="E230" s="242"/>
      <c r="F230" s="242"/>
      <c r="G230" s="242"/>
      <c r="H230" s="243"/>
      <c r="I230" s="242"/>
      <c r="J230" s="242"/>
      <c r="K230" s="242"/>
      <c r="L230" s="242"/>
      <c r="M230" s="244"/>
      <c r="N230" s="242"/>
      <c r="O230" s="242"/>
      <c r="P230" s="245"/>
      <c r="Q230" s="245"/>
      <c r="R230" s="244"/>
      <c r="S230" s="246"/>
    </row>
    <row r="231" spans="1:87" s="8" customFormat="1" x14ac:dyDescent="0.2">
      <c r="A231" s="308" t="s">
        <v>197</v>
      </c>
      <c r="B231" s="75"/>
      <c r="C231" s="75"/>
      <c r="D231" s="132"/>
      <c r="E231" s="132"/>
      <c r="F231" s="132"/>
      <c r="G231" s="20"/>
      <c r="H231" s="131"/>
      <c r="I231" s="20"/>
      <c r="J231" s="20"/>
      <c r="K231" s="20"/>
      <c r="L231" s="20"/>
      <c r="M231" s="131"/>
      <c r="N231" s="20"/>
      <c r="O231" s="20"/>
      <c r="P231" s="20"/>
      <c r="Q231" s="20"/>
      <c r="R231" s="131"/>
      <c r="S231" s="222"/>
      <c r="T231" s="137"/>
      <c r="U231" s="137"/>
      <c r="V231" s="137"/>
      <c r="W231" s="137"/>
      <c r="X231" s="137"/>
      <c r="Y231" s="137"/>
      <c r="Z231" s="137"/>
      <c r="AA231" s="137"/>
      <c r="AB231" s="137"/>
      <c r="AC231" s="137"/>
      <c r="AD231" s="137"/>
      <c r="AE231" s="163"/>
      <c r="AF231" s="163"/>
      <c r="AG231" s="163"/>
      <c r="AH231" s="163"/>
      <c r="AI231" s="163"/>
      <c r="AJ231" s="163"/>
      <c r="AK231" s="163"/>
      <c r="AL231" s="163"/>
      <c r="AM231" s="163"/>
      <c r="AN231" s="163"/>
      <c r="AO231" s="163"/>
      <c r="AP231" s="163"/>
      <c r="AQ231" s="163"/>
      <c r="AR231" s="163"/>
      <c r="AS231" s="163"/>
      <c r="AT231" s="163"/>
      <c r="AU231" s="163"/>
      <c r="AV231" s="163"/>
      <c r="AW231" s="163"/>
      <c r="AX231" s="163"/>
      <c r="AY231" s="163"/>
      <c r="AZ231" s="163"/>
      <c r="BA231" s="163"/>
      <c r="BB231" s="163"/>
      <c r="BC231" s="163"/>
      <c r="BD231" s="163"/>
      <c r="BE231" s="163"/>
      <c r="BF231" s="163"/>
      <c r="BG231" s="163"/>
      <c r="BH231" s="163"/>
      <c r="BI231" s="163"/>
      <c r="BJ231" s="163"/>
      <c r="BK231" s="163"/>
      <c r="BL231" s="163"/>
      <c r="BM231" s="163"/>
      <c r="BN231" s="163"/>
      <c r="BO231" s="163"/>
      <c r="BP231" s="163"/>
      <c r="BQ231" s="163"/>
      <c r="BR231" s="163"/>
      <c r="BS231" s="163"/>
      <c r="BT231" s="163"/>
      <c r="BU231" s="163"/>
      <c r="BV231" s="163"/>
      <c r="BW231" s="163"/>
      <c r="BX231" s="163"/>
      <c r="BY231" s="163"/>
      <c r="BZ231" s="163"/>
      <c r="CA231" s="163"/>
      <c r="CB231" s="163"/>
      <c r="CC231" s="163"/>
      <c r="CD231" s="163"/>
      <c r="CE231" s="163"/>
      <c r="CF231" s="163"/>
      <c r="CG231" s="163"/>
      <c r="CH231" s="163"/>
      <c r="CI231" s="163"/>
    </row>
    <row r="232" spans="1:87" s="8" customFormat="1" x14ac:dyDescent="0.2">
      <c r="A232" s="264" t="s">
        <v>181</v>
      </c>
      <c r="B232" s="75"/>
      <c r="C232" s="75">
        <v>5759</v>
      </c>
      <c r="D232" s="20">
        <v>8835</v>
      </c>
      <c r="E232" s="20">
        <v>8135</v>
      </c>
      <c r="F232" s="20">
        <v>17674</v>
      </c>
      <c r="G232" s="20">
        <v>14577</v>
      </c>
      <c r="H232" s="131">
        <f>SUM(D232:G232)</f>
        <v>49221</v>
      </c>
      <c r="I232" s="20">
        <v>11430</v>
      </c>
      <c r="J232" s="20">
        <v>9014</v>
      </c>
      <c r="K232" s="20">
        <v>15908</v>
      </c>
      <c r="L232" s="20">
        <v>41099</v>
      </c>
      <c r="M232" s="131">
        <f>SUM(I232:L232)</f>
        <v>77451</v>
      </c>
      <c r="N232" s="20">
        <v>23360</v>
      </c>
      <c r="O232" s="20">
        <v>17711</v>
      </c>
      <c r="P232" s="20">
        <v>36350</v>
      </c>
      <c r="Q232" s="20">
        <v>12927</v>
      </c>
      <c r="R232" s="131">
        <f>SUM(N232:Q232)</f>
        <v>90348</v>
      </c>
      <c r="S232" s="222">
        <v>31395</v>
      </c>
      <c r="T232" s="137"/>
      <c r="U232" s="137"/>
      <c r="V232" s="137"/>
      <c r="W232" s="137"/>
      <c r="X232" s="137"/>
      <c r="Y232" s="137"/>
      <c r="Z232" s="137"/>
      <c r="AA232" s="137"/>
      <c r="AB232" s="137"/>
      <c r="AC232" s="137"/>
      <c r="AD232" s="137"/>
      <c r="AE232" s="163"/>
      <c r="AF232" s="163"/>
      <c r="AG232" s="163"/>
      <c r="AH232" s="163"/>
      <c r="AI232" s="163"/>
      <c r="AJ232" s="163"/>
      <c r="AK232" s="163"/>
      <c r="AL232" s="163"/>
      <c r="AM232" s="163"/>
      <c r="AN232" s="163"/>
      <c r="AO232" s="163"/>
      <c r="AP232" s="163"/>
      <c r="AQ232" s="163"/>
      <c r="AR232" s="163"/>
      <c r="AS232" s="163"/>
      <c r="AT232" s="163"/>
      <c r="AU232" s="163"/>
      <c r="AV232" s="163"/>
      <c r="AW232" s="163"/>
      <c r="AX232" s="163"/>
      <c r="AY232" s="163"/>
      <c r="AZ232" s="163"/>
      <c r="BA232" s="163"/>
      <c r="BB232" s="163"/>
      <c r="BC232" s="163"/>
      <c r="BD232" s="163"/>
      <c r="BE232" s="163"/>
      <c r="BF232" s="163"/>
      <c r="BG232" s="163"/>
      <c r="BH232" s="163"/>
      <c r="BI232" s="163"/>
      <c r="BJ232" s="163"/>
      <c r="BK232" s="163"/>
      <c r="BL232" s="163"/>
      <c r="BM232" s="163"/>
      <c r="BN232" s="163"/>
      <c r="BO232" s="163"/>
      <c r="BP232" s="163"/>
      <c r="BQ232" s="163"/>
      <c r="BR232" s="163"/>
      <c r="BS232" s="163"/>
      <c r="BT232" s="163"/>
      <c r="BU232" s="163"/>
      <c r="BV232" s="163"/>
      <c r="BW232" s="163"/>
      <c r="BX232" s="163"/>
      <c r="BY232" s="163"/>
      <c r="BZ232" s="163"/>
      <c r="CA232" s="163"/>
      <c r="CB232" s="163"/>
      <c r="CC232" s="163"/>
      <c r="CD232" s="163"/>
      <c r="CE232" s="163"/>
      <c r="CF232" s="163"/>
      <c r="CG232" s="163"/>
      <c r="CH232" s="163"/>
      <c r="CI232" s="163"/>
    </row>
    <row r="233" spans="1:87" s="8" customFormat="1" x14ac:dyDescent="0.2">
      <c r="A233" s="264" t="s">
        <v>182</v>
      </c>
      <c r="B233" s="75">
        <v>70381</v>
      </c>
      <c r="C233" s="75">
        <v>71823</v>
      </c>
      <c r="D233" s="20">
        <v>14985</v>
      </c>
      <c r="E233" s="20">
        <v>9493</v>
      </c>
      <c r="F233" s="20">
        <v>10766</v>
      </c>
      <c r="G233" s="20">
        <v>13554</v>
      </c>
      <c r="H233" s="131">
        <f t="shared" ref="H233:H234" si="161">SUM(D233:G233)</f>
        <v>48798</v>
      </c>
      <c r="I233" s="20">
        <v>11003</v>
      </c>
      <c r="J233" s="20">
        <v>7658</v>
      </c>
      <c r="K233" s="20">
        <v>8119</v>
      </c>
      <c r="L233" s="20">
        <v>10611</v>
      </c>
      <c r="M233" s="131">
        <f t="shared" ref="M233:M234" si="162">SUM(I233:L233)</f>
        <v>37391</v>
      </c>
      <c r="N233" s="20">
        <v>8229</v>
      </c>
      <c r="O233" s="20">
        <v>7012</v>
      </c>
      <c r="P233" s="20">
        <v>6596</v>
      </c>
      <c r="Q233" s="20">
        <v>8246</v>
      </c>
      <c r="R233" s="131">
        <f t="shared" ref="R233:R234" si="163">SUM(N233:Q233)</f>
        <v>30083</v>
      </c>
      <c r="S233" s="222">
        <v>6338</v>
      </c>
      <c r="T233" s="137"/>
      <c r="U233" s="137"/>
      <c r="V233" s="137"/>
      <c r="W233" s="137"/>
      <c r="X233" s="137"/>
      <c r="Y233" s="137"/>
      <c r="Z233" s="137"/>
      <c r="AA233" s="137"/>
      <c r="AB233" s="137"/>
      <c r="AC233" s="137"/>
      <c r="AD233" s="137"/>
      <c r="AE233" s="163"/>
      <c r="AF233" s="163"/>
      <c r="AG233" s="163"/>
      <c r="AH233" s="163"/>
      <c r="AI233" s="163"/>
      <c r="AJ233" s="163"/>
      <c r="AK233" s="163"/>
      <c r="AL233" s="163"/>
      <c r="AM233" s="163"/>
      <c r="AN233" s="163"/>
      <c r="AO233" s="163"/>
      <c r="AP233" s="163"/>
      <c r="AQ233" s="163"/>
      <c r="AR233" s="163"/>
      <c r="AS233" s="163"/>
      <c r="AT233" s="163"/>
      <c r="AU233" s="163"/>
      <c r="AV233" s="163"/>
      <c r="AW233" s="163"/>
      <c r="AX233" s="163"/>
      <c r="AY233" s="163"/>
      <c r="AZ233" s="163"/>
      <c r="BA233" s="163"/>
      <c r="BB233" s="163"/>
      <c r="BC233" s="163"/>
      <c r="BD233" s="163"/>
      <c r="BE233" s="163"/>
      <c r="BF233" s="163"/>
      <c r="BG233" s="163"/>
      <c r="BH233" s="163"/>
      <c r="BI233" s="163"/>
      <c r="BJ233" s="163"/>
      <c r="BK233" s="163"/>
      <c r="BL233" s="163"/>
      <c r="BM233" s="163"/>
      <c r="BN233" s="163"/>
      <c r="BO233" s="163"/>
      <c r="BP233" s="163"/>
      <c r="BQ233" s="163"/>
      <c r="BR233" s="163"/>
      <c r="BS233" s="163"/>
      <c r="BT233" s="163"/>
      <c r="BU233" s="163"/>
      <c r="BV233" s="163"/>
      <c r="BW233" s="163"/>
      <c r="BX233" s="163"/>
      <c r="BY233" s="163"/>
      <c r="BZ233" s="163"/>
      <c r="CA233" s="163"/>
      <c r="CB233" s="163"/>
      <c r="CC233" s="163"/>
      <c r="CD233" s="163"/>
      <c r="CE233" s="163"/>
      <c r="CF233" s="163"/>
      <c r="CG233" s="163"/>
      <c r="CH233" s="163"/>
      <c r="CI233" s="163"/>
    </row>
    <row r="234" spans="1:87" s="8" customFormat="1" x14ac:dyDescent="0.2">
      <c r="A234" s="264" t="s">
        <v>183</v>
      </c>
      <c r="B234" s="75">
        <v>76106</v>
      </c>
      <c r="C234" s="75">
        <v>65855</v>
      </c>
      <c r="D234" s="20">
        <v>9861</v>
      </c>
      <c r="E234" s="20">
        <v>9759</v>
      </c>
      <c r="F234" s="20">
        <v>9819</v>
      </c>
      <c r="G234" s="20">
        <v>11534</v>
      </c>
      <c r="H234" s="131">
        <f t="shared" si="161"/>
        <v>40973</v>
      </c>
      <c r="I234" s="20">
        <v>10478</v>
      </c>
      <c r="J234" s="20">
        <v>13100</v>
      </c>
      <c r="K234" s="20">
        <v>10078</v>
      </c>
      <c r="L234" s="20">
        <v>9751</v>
      </c>
      <c r="M234" s="131">
        <f t="shared" si="162"/>
        <v>43407</v>
      </c>
      <c r="N234" s="20">
        <v>8838</v>
      </c>
      <c r="O234" s="20">
        <v>9788</v>
      </c>
      <c r="P234" s="20">
        <v>5562</v>
      </c>
      <c r="Q234" s="20">
        <v>14432</v>
      </c>
      <c r="R234" s="131">
        <f t="shared" si="163"/>
        <v>38620</v>
      </c>
      <c r="S234" s="222">
        <v>2006</v>
      </c>
      <c r="T234" s="137"/>
      <c r="U234" s="137"/>
      <c r="V234" s="137"/>
      <c r="W234" s="137"/>
      <c r="X234" s="137"/>
      <c r="Y234" s="137"/>
      <c r="Z234" s="137"/>
      <c r="AA234" s="137"/>
      <c r="AB234" s="137"/>
      <c r="AC234" s="137"/>
      <c r="AD234" s="137"/>
      <c r="AE234" s="163"/>
      <c r="AF234" s="163"/>
      <c r="AG234" s="163"/>
      <c r="AH234" s="163"/>
      <c r="AI234" s="163"/>
      <c r="AJ234" s="163"/>
      <c r="AK234" s="163"/>
      <c r="AL234" s="163"/>
      <c r="AM234" s="163"/>
      <c r="AN234" s="163"/>
      <c r="AO234" s="163"/>
      <c r="AP234" s="163"/>
      <c r="AQ234" s="163"/>
      <c r="AR234" s="163"/>
      <c r="AS234" s="163"/>
      <c r="AT234" s="163"/>
      <c r="AU234" s="163"/>
      <c r="AV234" s="163"/>
      <c r="AW234" s="163"/>
      <c r="AX234" s="163"/>
      <c r="AY234" s="163"/>
      <c r="AZ234" s="163"/>
      <c r="BA234" s="163"/>
      <c r="BB234" s="163"/>
      <c r="BC234" s="163"/>
      <c r="BD234" s="163"/>
      <c r="BE234" s="163"/>
      <c r="BF234" s="163"/>
      <c r="BG234" s="163"/>
      <c r="BH234" s="163"/>
      <c r="BI234" s="163"/>
      <c r="BJ234" s="163"/>
      <c r="BK234" s="163"/>
      <c r="BL234" s="163"/>
      <c r="BM234" s="163"/>
      <c r="BN234" s="163"/>
      <c r="BO234" s="163"/>
      <c r="BP234" s="163"/>
      <c r="BQ234" s="163"/>
      <c r="BR234" s="163"/>
      <c r="BS234" s="163"/>
      <c r="BT234" s="163"/>
      <c r="BU234" s="163"/>
      <c r="BV234" s="163"/>
      <c r="BW234" s="163"/>
      <c r="BX234" s="163"/>
      <c r="BY234" s="163"/>
      <c r="BZ234" s="163"/>
      <c r="CA234" s="163"/>
      <c r="CB234" s="163"/>
      <c r="CC234" s="163"/>
      <c r="CD234" s="163"/>
      <c r="CE234" s="163"/>
      <c r="CF234" s="163"/>
      <c r="CG234" s="163"/>
      <c r="CH234" s="163"/>
      <c r="CI234" s="163"/>
    </row>
    <row r="235" spans="1:87" s="8" customFormat="1" x14ac:dyDescent="0.2">
      <c r="A235" s="264" t="s">
        <v>184</v>
      </c>
      <c r="B235" s="75">
        <v>12504</v>
      </c>
      <c r="C235" s="75">
        <v>18398</v>
      </c>
      <c r="D235" s="20">
        <v>1253</v>
      </c>
      <c r="E235" s="20">
        <v>3631</v>
      </c>
      <c r="F235" s="20">
        <v>3923</v>
      </c>
      <c r="G235" s="20">
        <v>2978</v>
      </c>
      <c r="H235" s="131">
        <f>SUM(D235:G235)</f>
        <v>11785</v>
      </c>
      <c r="I235" s="20">
        <v>3261</v>
      </c>
      <c r="J235" s="20">
        <v>5429</v>
      </c>
      <c r="K235" s="20">
        <v>12811</v>
      </c>
      <c r="L235" s="20">
        <v>11657</v>
      </c>
      <c r="M235" s="131">
        <f>SUM(I235:L235)</f>
        <v>33158</v>
      </c>
      <c r="N235" s="20">
        <v>8686</v>
      </c>
      <c r="O235" s="20">
        <v>6307</v>
      </c>
      <c r="P235" s="20">
        <v>3232</v>
      </c>
      <c r="Q235" s="20">
        <v>8733</v>
      </c>
      <c r="R235" s="131">
        <f>SUM(N235:Q235)</f>
        <v>26958</v>
      </c>
      <c r="S235" s="222">
        <v>6201</v>
      </c>
      <c r="T235" s="137"/>
      <c r="U235" s="137"/>
      <c r="V235" s="137"/>
      <c r="W235" s="137"/>
      <c r="X235" s="137"/>
      <c r="Y235" s="137"/>
      <c r="Z235" s="137"/>
      <c r="AA235" s="137"/>
      <c r="AB235" s="137"/>
      <c r="AC235" s="137"/>
      <c r="AD235" s="137"/>
      <c r="AE235" s="163"/>
      <c r="AF235" s="163"/>
      <c r="AG235" s="163"/>
      <c r="AH235" s="163"/>
      <c r="AI235" s="163"/>
      <c r="AJ235" s="163"/>
      <c r="AK235" s="163"/>
      <c r="AL235" s="163"/>
      <c r="AM235" s="163"/>
      <c r="AN235" s="163"/>
      <c r="AO235" s="163"/>
      <c r="AP235" s="163"/>
      <c r="AQ235" s="163"/>
      <c r="AR235" s="163"/>
      <c r="AS235" s="163"/>
      <c r="AT235" s="163"/>
      <c r="AU235" s="163"/>
      <c r="AV235" s="163"/>
      <c r="AW235" s="163"/>
      <c r="AX235" s="163"/>
      <c r="AY235" s="163"/>
      <c r="AZ235" s="163"/>
      <c r="BA235" s="163"/>
      <c r="BB235" s="163"/>
      <c r="BC235" s="163"/>
      <c r="BD235" s="163"/>
      <c r="BE235" s="163"/>
      <c r="BF235" s="163"/>
      <c r="BG235" s="163"/>
      <c r="BH235" s="163"/>
      <c r="BI235" s="163"/>
      <c r="BJ235" s="163"/>
      <c r="BK235" s="163"/>
      <c r="BL235" s="163"/>
      <c r="BM235" s="163"/>
      <c r="BN235" s="163"/>
      <c r="BO235" s="163"/>
      <c r="BP235" s="163"/>
      <c r="BQ235" s="163"/>
      <c r="BR235" s="163"/>
      <c r="BS235" s="163"/>
      <c r="BT235" s="163"/>
      <c r="BU235" s="163"/>
      <c r="BV235" s="163"/>
      <c r="BW235" s="163"/>
      <c r="BX235" s="163"/>
      <c r="BY235" s="163"/>
      <c r="BZ235" s="163"/>
      <c r="CA235" s="163"/>
      <c r="CB235" s="163"/>
      <c r="CC235" s="163"/>
      <c r="CD235" s="163"/>
      <c r="CE235" s="163"/>
      <c r="CF235" s="163"/>
      <c r="CG235" s="163"/>
      <c r="CH235" s="163"/>
      <c r="CI235" s="163"/>
    </row>
    <row r="236" spans="1:87" s="8" customFormat="1" x14ac:dyDescent="0.2">
      <c r="A236" s="264" t="s">
        <v>185</v>
      </c>
      <c r="B236" s="75">
        <v>2408471</v>
      </c>
      <c r="C236" s="75">
        <v>2342897</v>
      </c>
      <c r="D236" s="20">
        <v>616517</v>
      </c>
      <c r="E236" s="20">
        <v>606220</v>
      </c>
      <c r="F236" s="20">
        <v>566347</v>
      </c>
      <c r="G236" s="20">
        <v>962519</v>
      </c>
      <c r="H236" s="131">
        <f t="shared" ref="H236:H240" si="164">SUM(D236:G236)</f>
        <v>2751603</v>
      </c>
      <c r="I236" s="20">
        <v>873364</v>
      </c>
      <c r="J236" s="20">
        <v>715268</v>
      </c>
      <c r="K236" s="20">
        <v>852980</v>
      </c>
      <c r="L236" s="20">
        <v>1272679</v>
      </c>
      <c r="M236" s="131">
        <f t="shared" ref="M236:M240" si="165">SUM(I236:L236)</f>
        <v>3714291</v>
      </c>
      <c r="N236" s="20">
        <v>1009760</v>
      </c>
      <c r="O236" s="20">
        <v>1413329</v>
      </c>
      <c r="P236" s="20">
        <v>1327971</v>
      </c>
      <c r="Q236" s="20">
        <v>1194867</v>
      </c>
      <c r="R236" s="131">
        <f t="shared" ref="R236:R240" si="166">SUM(N236:Q236)</f>
        <v>4945927</v>
      </c>
      <c r="S236" s="222">
        <v>1089939</v>
      </c>
      <c r="T236" s="137"/>
      <c r="U236" s="137"/>
      <c r="V236" s="137"/>
      <c r="W236" s="137"/>
      <c r="X236" s="137"/>
      <c r="Y236" s="137"/>
      <c r="Z236" s="137"/>
      <c r="AA236" s="137"/>
      <c r="AB236" s="137"/>
      <c r="AC236" s="137"/>
      <c r="AD236" s="137"/>
      <c r="AE236" s="163"/>
      <c r="AF236" s="163"/>
      <c r="AG236" s="163"/>
      <c r="AH236" s="163"/>
      <c r="AI236" s="163"/>
      <c r="AJ236" s="163"/>
      <c r="AK236" s="163"/>
      <c r="AL236" s="163"/>
      <c r="AM236" s="163"/>
      <c r="AN236" s="163"/>
      <c r="AO236" s="163"/>
      <c r="AP236" s="163"/>
      <c r="AQ236" s="163"/>
      <c r="AR236" s="163"/>
      <c r="AS236" s="163"/>
      <c r="AT236" s="163"/>
      <c r="AU236" s="163"/>
      <c r="AV236" s="163"/>
      <c r="AW236" s="163"/>
      <c r="AX236" s="163"/>
      <c r="AY236" s="163"/>
      <c r="AZ236" s="163"/>
      <c r="BA236" s="163"/>
      <c r="BB236" s="163"/>
      <c r="BC236" s="163"/>
      <c r="BD236" s="163"/>
      <c r="BE236" s="163"/>
      <c r="BF236" s="163"/>
      <c r="BG236" s="163"/>
      <c r="BH236" s="163"/>
      <c r="BI236" s="163"/>
      <c r="BJ236" s="163"/>
      <c r="BK236" s="163"/>
      <c r="BL236" s="163"/>
      <c r="BM236" s="163"/>
      <c r="BN236" s="163"/>
      <c r="BO236" s="163"/>
      <c r="BP236" s="163"/>
      <c r="BQ236" s="163"/>
      <c r="BR236" s="163"/>
      <c r="BS236" s="163"/>
      <c r="BT236" s="163"/>
      <c r="BU236" s="163"/>
      <c r="BV236" s="163"/>
      <c r="BW236" s="163"/>
      <c r="BX236" s="163"/>
      <c r="BY236" s="163"/>
      <c r="BZ236" s="163"/>
      <c r="CA236" s="163"/>
      <c r="CB236" s="163"/>
      <c r="CC236" s="163"/>
      <c r="CD236" s="163"/>
      <c r="CE236" s="163"/>
      <c r="CF236" s="163"/>
      <c r="CG236" s="163"/>
      <c r="CH236" s="163"/>
      <c r="CI236" s="163"/>
    </row>
    <row r="237" spans="1:87" s="8" customFormat="1" x14ac:dyDescent="0.2">
      <c r="A237" s="264" t="s">
        <v>190</v>
      </c>
      <c r="B237" s="75">
        <v>89808</v>
      </c>
      <c r="C237" s="75">
        <v>85965</v>
      </c>
      <c r="D237" s="20">
        <v>25848</v>
      </c>
      <c r="E237" s="20">
        <v>20346</v>
      </c>
      <c r="F237" s="20">
        <v>22037</v>
      </c>
      <c r="G237" s="20">
        <v>83268</v>
      </c>
      <c r="H237" s="131">
        <f>SUM(D237:G237)</f>
        <v>151499</v>
      </c>
      <c r="I237" s="20">
        <v>39864</v>
      </c>
      <c r="J237" s="20">
        <v>35066</v>
      </c>
      <c r="K237" s="20">
        <v>62873</v>
      </c>
      <c r="L237" s="20">
        <v>44735</v>
      </c>
      <c r="M237" s="131">
        <f>SUM(I237:L237)</f>
        <v>182538</v>
      </c>
      <c r="N237" s="20">
        <v>46094</v>
      </c>
      <c r="O237" s="20">
        <v>45572</v>
      </c>
      <c r="P237" s="20">
        <v>58248</v>
      </c>
      <c r="Q237" s="20">
        <v>31749</v>
      </c>
      <c r="R237" s="131">
        <f>SUM(N237:Q237)</f>
        <v>181663</v>
      </c>
      <c r="S237" s="222">
        <v>62562</v>
      </c>
      <c r="T237" s="137"/>
      <c r="U237" s="137"/>
      <c r="V237" s="137"/>
      <c r="W237" s="137"/>
      <c r="X237" s="137"/>
      <c r="Y237" s="137"/>
      <c r="Z237" s="137"/>
      <c r="AA237" s="137"/>
      <c r="AB237" s="137"/>
      <c r="AC237" s="137"/>
      <c r="AD237" s="137"/>
      <c r="AE237" s="163"/>
      <c r="AF237" s="163"/>
      <c r="AG237" s="163"/>
      <c r="AH237" s="163"/>
      <c r="AI237" s="163"/>
      <c r="AJ237" s="163"/>
      <c r="AK237" s="163"/>
      <c r="AL237" s="163"/>
      <c r="AM237" s="163"/>
      <c r="AN237" s="163"/>
      <c r="AO237" s="163"/>
      <c r="AP237" s="163"/>
      <c r="AQ237" s="163"/>
      <c r="AR237" s="163"/>
      <c r="AS237" s="163"/>
      <c r="AT237" s="163"/>
      <c r="AU237" s="163"/>
      <c r="AV237" s="163"/>
      <c r="AW237" s="163"/>
      <c r="AX237" s="163"/>
      <c r="AY237" s="163"/>
      <c r="AZ237" s="163"/>
      <c r="BA237" s="163"/>
      <c r="BB237" s="163"/>
      <c r="BC237" s="163"/>
      <c r="BD237" s="163"/>
      <c r="BE237" s="163"/>
      <c r="BF237" s="163"/>
      <c r="BG237" s="163"/>
      <c r="BH237" s="163"/>
      <c r="BI237" s="163"/>
      <c r="BJ237" s="163"/>
      <c r="BK237" s="163"/>
      <c r="BL237" s="163"/>
      <c r="BM237" s="163"/>
      <c r="BN237" s="163"/>
      <c r="BO237" s="163"/>
      <c r="BP237" s="163"/>
      <c r="BQ237" s="163"/>
      <c r="BR237" s="163"/>
      <c r="BS237" s="163"/>
      <c r="BT237" s="163"/>
      <c r="BU237" s="163"/>
      <c r="BV237" s="163"/>
      <c r="BW237" s="163"/>
      <c r="BX237" s="163"/>
      <c r="BY237" s="163"/>
      <c r="BZ237" s="163"/>
      <c r="CA237" s="163"/>
      <c r="CB237" s="163"/>
      <c r="CC237" s="163"/>
      <c r="CD237" s="163"/>
      <c r="CE237" s="163"/>
      <c r="CF237" s="163"/>
      <c r="CG237" s="163"/>
      <c r="CH237" s="163"/>
      <c r="CI237" s="163"/>
    </row>
    <row r="238" spans="1:87" s="8" customFormat="1" x14ac:dyDescent="0.2">
      <c r="A238" s="264" t="s">
        <v>191</v>
      </c>
      <c r="B238" s="75">
        <v>26025</v>
      </c>
      <c r="C238" s="75">
        <v>15541</v>
      </c>
      <c r="D238" s="20">
        <v>3591</v>
      </c>
      <c r="E238" s="20">
        <v>3508</v>
      </c>
      <c r="F238" s="20">
        <v>5409</v>
      </c>
      <c r="G238" s="20">
        <v>3078</v>
      </c>
      <c r="H238" s="131">
        <f t="shared" si="164"/>
        <v>15586</v>
      </c>
      <c r="I238" s="20">
        <v>3074</v>
      </c>
      <c r="J238" s="20">
        <v>1964</v>
      </c>
      <c r="K238" s="20">
        <v>3175</v>
      </c>
      <c r="L238" s="20">
        <v>749</v>
      </c>
      <c r="M238" s="131">
        <f t="shared" si="165"/>
        <v>8962</v>
      </c>
      <c r="N238" s="20">
        <v>1565</v>
      </c>
      <c r="O238" s="20">
        <v>1846</v>
      </c>
      <c r="P238" s="20">
        <v>3390</v>
      </c>
      <c r="Q238" s="20">
        <v>1027</v>
      </c>
      <c r="R238" s="131">
        <f t="shared" si="166"/>
        <v>7828</v>
      </c>
      <c r="S238" s="222">
        <v>3127</v>
      </c>
      <c r="T238" s="137"/>
      <c r="U238" s="137"/>
      <c r="V238" s="137"/>
      <c r="W238" s="137"/>
      <c r="X238" s="137"/>
      <c r="Y238" s="137"/>
      <c r="Z238" s="137"/>
      <c r="AA238" s="137"/>
      <c r="AB238" s="137"/>
      <c r="AC238" s="137"/>
      <c r="AD238" s="137"/>
      <c r="AE238" s="163"/>
      <c r="AF238" s="163"/>
      <c r="AG238" s="163"/>
      <c r="AH238" s="163"/>
      <c r="AI238" s="163"/>
      <c r="AJ238" s="163"/>
      <c r="AK238" s="163"/>
      <c r="AL238" s="163"/>
      <c r="AM238" s="163"/>
      <c r="AN238" s="163"/>
      <c r="AO238" s="163"/>
      <c r="AP238" s="163"/>
      <c r="AQ238" s="163"/>
      <c r="AR238" s="163"/>
      <c r="AS238" s="163"/>
      <c r="AT238" s="163"/>
      <c r="AU238" s="163"/>
      <c r="AV238" s="163"/>
      <c r="AW238" s="163"/>
      <c r="AX238" s="163"/>
      <c r="AY238" s="163"/>
      <c r="AZ238" s="163"/>
      <c r="BA238" s="163"/>
      <c r="BB238" s="163"/>
      <c r="BC238" s="163"/>
      <c r="BD238" s="163"/>
      <c r="BE238" s="163"/>
      <c r="BF238" s="163"/>
      <c r="BG238" s="163"/>
      <c r="BH238" s="163"/>
      <c r="BI238" s="163"/>
      <c r="BJ238" s="163"/>
      <c r="BK238" s="163"/>
      <c r="BL238" s="163"/>
      <c r="BM238" s="163"/>
      <c r="BN238" s="163"/>
      <c r="BO238" s="163"/>
      <c r="BP238" s="163"/>
      <c r="BQ238" s="163"/>
      <c r="BR238" s="163"/>
      <c r="BS238" s="163"/>
      <c r="BT238" s="163"/>
      <c r="BU238" s="163"/>
      <c r="BV238" s="163"/>
      <c r="BW238" s="163"/>
      <c r="BX238" s="163"/>
      <c r="BY238" s="163"/>
      <c r="BZ238" s="163"/>
      <c r="CA238" s="163"/>
      <c r="CB238" s="163"/>
      <c r="CC238" s="163"/>
      <c r="CD238" s="163"/>
      <c r="CE238" s="163"/>
      <c r="CF238" s="163"/>
      <c r="CG238" s="163"/>
      <c r="CH238" s="163"/>
      <c r="CI238" s="163"/>
    </row>
    <row r="239" spans="1:87" s="8" customFormat="1" x14ac:dyDescent="0.2">
      <c r="A239" s="264" t="s">
        <v>192</v>
      </c>
      <c r="B239" s="75">
        <v>3795</v>
      </c>
      <c r="C239" s="75">
        <v>9445</v>
      </c>
      <c r="D239" s="20">
        <v>1735</v>
      </c>
      <c r="E239" s="20">
        <v>2441</v>
      </c>
      <c r="F239" s="20">
        <v>2967</v>
      </c>
      <c r="G239" s="20">
        <v>3324</v>
      </c>
      <c r="H239" s="131">
        <f t="shared" si="164"/>
        <v>10467</v>
      </c>
      <c r="I239" s="20">
        <v>2676</v>
      </c>
      <c r="J239" s="20">
        <v>2327</v>
      </c>
      <c r="K239" s="20">
        <v>2396</v>
      </c>
      <c r="L239" s="20">
        <v>3905</v>
      </c>
      <c r="M239" s="131">
        <f t="shared" si="165"/>
        <v>11304</v>
      </c>
      <c r="N239" s="20">
        <v>1440</v>
      </c>
      <c r="O239" s="20">
        <v>2462</v>
      </c>
      <c r="P239" s="20">
        <v>2753</v>
      </c>
      <c r="Q239" s="20">
        <v>4609</v>
      </c>
      <c r="R239" s="131">
        <f t="shared" si="166"/>
        <v>11264</v>
      </c>
      <c r="S239" s="222">
        <v>5747</v>
      </c>
      <c r="T239" s="137"/>
      <c r="U239" s="137"/>
      <c r="V239" s="137"/>
      <c r="W239" s="137"/>
      <c r="X239" s="137"/>
      <c r="Y239" s="137"/>
      <c r="Z239" s="137"/>
      <c r="AA239" s="137"/>
      <c r="AB239" s="137"/>
      <c r="AC239" s="137"/>
      <c r="AD239" s="137"/>
      <c r="AE239" s="163"/>
      <c r="AF239" s="163"/>
      <c r="AG239" s="163"/>
      <c r="AH239" s="163"/>
      <c r="AI239" s="163"/>
      <c r="AJ239" s="163"/>
      <c r="AK239" s="163"/>
      <c r="AL239" s="163"/>
      <c r="AM239" s="163"/>
      <c r="AN239" s="163"/>
      <c r="AO239" s="163"/>
      <c r="AP239" s="163"/>
      <c r="AQ239" s="163"/>
      <c r="AR239" s="163"/>
      <c r="AS239" s="163"/>
      <c r="AT239" s="163"/>
      <c r="AU239" s="163"/>
      <c r="AV239" s="163"/>
      <c r="AW239" s="163"/>
      <c r="AX239" s="163"/>
      <c r="AY239" s="163"/>
      <c r="AZ239" s="163"/>
      <c r="BA239" s="163"/>
      <c r="BB239" s="163"/>
      <c r="BC239" s="163"/>
      <c r="BD239" s="163"/>
      <c r="BE239" s="163"/>
      <c r="BF239" s="163"/>
      <c r="BG239" s="163"/>
      <c r="BH239" s="163"/>
      <c r="BI239" s="163"/>
      <c r="BJ239" s="163"/>
      <c r="BK239" s="163"/>
      <c r="BL239" s="163"/>
      <c r="BM239" s="163"/>
      <c r="BN239" s="163"/>
      <c r="BO239" s="163"/>
      <c r="BP239" s="163"/>
      <c r="BQ239" s="163"/>
      <c r="BR239" s="163"/>
      <c r="BS239" s="163"/>
      <c r="BT239" s="163"/>
      <c r="BU239" s="163"/>
      <c r="BV239" s="163"/>
      <c r="BW239" s="163"/>
      <c r="BX239" s="163"/>
      <c r="BY239" s="163"/>
      <c r="BZ239" s="163"/>
      <c r="CA239" s="163"/>
      <c r="CB239" s="163"/>
      <c r="CC239" s="163"/>
      <c r="CD239" s="163"/>
      <c r="CE239" s="163"/>
      <c r="CF239" s="163"/>
      <c r="CG239" s="163"/>
      <c r="CH239" s="163"/>
      <c r="CI239" s="163"/>
    </row>
    <row r="240" spans="1:87" s="8" customFormat="1" x14ac:dyDescent="0.2">
      <c r="A240" s="312" t="s">
        <v>193</v>
      </c>
      <c r="B240" s="313">
        <v>23492</v>
      </c>
      <c r="C240" s="313">
        <v>17762</v>
      </c>
      <c r="D240" s="314">
        <v>4994</v>
      </c>
      <c r="E240" s="314">
        <v>3408</v>
      </c>
      <c r="F240" s="314">
        <v>3724</v>
      </c>
      <c r="G240" s="314">
        <v>10149</v>
      </c>
      <c r="H240" s="315">
        <f t="shared" si="164"/>
        <v>22275</v>
      </c>
      <c r="I240" s="314">
        <v>5297</v>
      </c>
      <c r="J240" s="314">
        <v>4634</v>
      </c>
      <c r="K240" s="314">
        <v>9165</v>
      </c>
      <c r="L240" s="314">
        <v>6326</v>
      </c>
      <c r="M240" s="315">
        <f t="shared" si="165"/>
        <v>25422</v>
      </c>
      <c r="N240" s="314">
        <v>6786</v>
      </c>
      <c r="O240" s="314">
        <v>5283</v>
      </c>
      <c r="P240" s="314">
        <v>8556</v>
      </c>
      <c r="Q240" s="314">
        <v>4959</v>
      </c>
      <c r="R240" s="315">
        <f t="shared" si="166"/>
        <v>25584</v>
      </c>
      <c r="S240" s="316">
        <v>8064</v>
      </c>
      <c r="T240" s="137"/>
      <c r="U240" s="137"/>
      <c r="V240" s="137"/>
      <c r="W240" s="137"/>
      <c r="X240" s="137"/>
      <c r="Y240" s="137"/>
      <c r="Z240" s="137"/>
      <c r="AA240" s="137"/>
      <c r="AB240" s="137"/>
      <c r="AC240" s="137"/>
      <c r="AD240" s="137"/>
      <c r="AE240" s="163"/>
      <c r="AF240" s="163"/>
      <c r="AG240" s="163"/>
      <c r="AH240" s="163"/>
      <c r="AI240" s="163"/>
      <c r="AJ240" s="163"/>
      <c r="AK240" s="163"/>
      <c r="AL240" s="163"/>
      <c r="AM240" s="163"/>
      <c r="AN240" s="163"/>
      <c r="AO240" s="163"/>
      <c r="AP240" s="163"/>
      <c r="AQ240" s="163"/>
      <c r="AR240" s="163"/>
      <c r="AS240" s="163"/>
      <c r="AT240" s="163"/>
      <c r="AU240" s="163"/>
      <c r="AV240" s="163"/>
      <c r="AW240" s="163"/>
      <c r="AX240" s="163"/>
      <c r="AY240" s="163"/>
      <c r="AZ240" s="163"/>
      <c r="BA240" s="163"/>
      <c r="BB240" s="163"/>
      <c r="BC240" s="163"/>
      <c r="BD240" s="163"/>
      <c r="BE240" s="163"/>
      <c r="BF240" s="163"/>
      <c r="BG240" s="163"/>
      <c r="BH240" s="163"/>
      <c r="BI240" s="163"/>
      <c r="BJ240" s="163"/>
      <c r="BK240" s="163"/>
      <c r="BL240" s="163"/>
      <c r="BM240" s="163"/>
      <c r="BN240" s="163"/>
      <c r="BO240" s="163"/>
      <c r="BP240" s="163"/>
      <c r="BQ240" s="163"/>
      <c r="BR240" s="163"/>
      <c r="BS240" s="163"/>
      <c r="BT240" s="163"/>
      <c r="BU240" s="163"/>
      <c r="BV240" s="163"/>
      <c r="BW240" s="163"/>
      <c r="BX240" s="163"/>
      <c r="BY240" s="163"/>
      <c r="BZ240" s="163"/>
      <c r="CA240" s="163"/>
      <c r="CB240" s="163"/>
      <c r="CC240" s="163"/>
      <c r="CD240" s="163"/>
      <c r="CE240" s="163"/>
      <c r="CF240" s="163"/>
      <c r="CG240" s="163"/>
      <c r="CH240" s="163"/>
      <c r="CI240" s="163"/>
    </row>
    <row r="241" spans="1:87" x14ac:dyDescent="0.2">
      <c r="B241" s="84"/>
      <c r="C241" s="84"/>
      <c r="D241" s="8"/>
      <c r="E241" s="8"/>
      <c r="F241" s="8"/>
      <c r="G241" s="8"/>
      <c r="H241" s="8"/>
      <c r="I241" s="8"/>
      <c r="J241" s="8"/>
      <c r="K241" s="8"/>
      <c r="L241" s="8"/>
      <c r="M241" s="8"/>
      <c r="N241" s="19"/>
      <c r="O241" s="19"/>
      <c r="R241" s="27"/>
    </row>
    <row r="242" spans="1:87" x14ac:dyDescent="0.2">
      <c r="B242" s="85"/>
      <c r="C242" s="85"/>
      <c r="H242" s="29"/>
      <c r="M242" s="27"/>
      <c r="R242" s="27"/>
    </row>
    <row r="243" spans="1:87" x14ac:dyDescent="0.2">
      <c r="A243" s="9" t="s">
        <v>198</v>
      </c>
      <c r="B243" s="85"/>
      <c r="C243" s="85"/>
      <c r="H243" s="29"/>
      <c r="M243" s="27"/>
      <c r="R243" s="27"/>
    </row>
    <row r="244" spans="1:87" s="173" customFormat="1" x14ac:dyDescent="0.2">
      <c r="A244" s="168" t="s">
        <v>199</v>
      </c>
      <c r="B244" s="169"/>
      <c r="C244" s="169"/>
      <c r="D244" s="170"/>
      <c r="E244" s="171"/>
      <c r="F244" s="171"/>
      <c r="G244" s="171"/>
      <c r="H244" s="171"/>
      <c r="I244" s="171"/>
      <c r="J244" s="171"/>
      <c r="K244" s="171"/>
      <c r="L244" s="171"/>
      <c r="M244" s="172"/>
      <c r="N244" s="171"/>
      <c r="O244" s="171"/>
      <c r="R244" s="172"/>
      <c r="T244" s="174"/>
      <c r="U244" s="174"/>
      <c r="V244" s="174"/>
      <c r="W244" s="174"/>
      <c r="X244" s="174"/>
      <c r="Y244" s="174"/>
      <c r="Z244" s="174"/>
      <c r="AA244" s="174"/>
      <c r="AB244" s="174"/>
      <c r="AC244" s="174"/>
      <c r="AD244" s="174"/>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c r="AY244" s="175"/>
      <c r="AZ244" s="175"/>
      <c r="BA244" s="175"/>
      <c r="BB244" s="175"/>
      <c r="BC244" s="175"/>
      <c r="BD244" s="175"/>
      <c r="BE244" s="175"/>
      <c r="BF244" s="175"/>
      <c r="BG244" s="175"/>
      <c r="BH244" s="175"/>
      <c r="BI244" s="175"/>
      <c r="BJ244" s="175"/>
      <c r="BK244" s="175"/>
      <c r="BL244" s="175"/>
      <c r="BM244" s="175"/>
      <c r="BN244" s="175"/>
      <c r="BO244" s="175"/>
      <c r="BP244" s="175"/>
      <c r="BQ244" s="175"/>
      <c r="BR244" s="175"/>
      <c r="BS244" s="175"/>
      <c r="BT244" s="175"/>
      <c r="BU244" s="175"/>
      <c r="BV244" s="175"/>
      <c r="BW244" s="175"/>
      <c r="BX244" s="175"/>
      <c r="BY244" s="175"/>
      <c r="BZ244" s="175"/>
      <c r="CA244" s="175"/>
      <c r="CB244" s="175"/>
      <c r="CC244" s="175"/>
      <c r="CD244" s="175"/>
      <c r="CE244" s="175"/>
      <c r="CF244" s="175"/>
      <c r="CG244" s="175"/>
      <c r="CH244" s="175"/>
      <c r="CI244" s="175"/>
    </row>
    <row r="245" spans="1:87" s="181" customFormat="1" x14ac:dyDescent="0.2">
      <c r="A245" s="176" t="s">
        <v>200</v>
      </c>
      <c r="B245" s="177"/>
      <c r="C245" s="177"/>
      <c r="D245" s="178"/>
      <c r="E245" s="179"/>
      <c r="F245" s="179"/>
      <c r="G245" s="179"/>
      <c r="H245" s="179"/>
      <c r="I245" s="179"/>
      <c r="J245" s="179"/>
      <c r="K245" s="179"/>
      <c r="L245" s="179"/>
      <c r="M245" s="180"/>
      <c r="N245" s="179"/>
      <c r="O245" s="179"/>
      <c r="R245" s="180"/>
      <c r="T245" s="182"/>
      <c r="U245" s="182"/>
      <c r="V245" s="182"/>
      <c r="W245" s="182"/>
      <c r="X245" s="182"/>
      <c r="Y245" s="182"/>
      <c r="Z245" s="182"/>
      <c r="AA245" s="182"/>
      <c r="AB245" s="182"/>
      <c r="AC245" s="182"/>
      <c r="AD245" s="182"/>
      <c r="AE245" s="183"/>
      <c r="AF245" s="183"/>
      <c r="AG245" s="183"/>
      <c r="AH245" s="183"/>
      <c r="AI245" s="183"/>
      <c r="AJ245" s="183"/>
      <c r="AK245" s="183"/>
      <c r="AL245" s="183"/>
      <c r="AM245" s="183"/>
      <c r="AN245" s="183"/>
      <c r="AO245" s="183"/>
      <c r="AP245" s="183"/>
      <c r="AQ245" s="183"/>
      <c r="AR245" s="183"/>
      <c r="AS245" s="183"/>
      <c r="AT245" s="183"/>
      <c r="AU245" s="183"/>
      <c r="AV245" s="183"/>
      <c r="AW245" s="183"/>
      <c r="AX245" s="183"/>
      <c r="AY245" s="183"/>
      <c r="AZ245" s="183"/>
      <c r="BA245" s="183"/>
      <c r="BB245" s="183"/>
      <c r="BC245" s="183"/>
      <c r="BD245" s="183"/>
      <c r="BE245" s="183"/>
      <c r="BF245" s="183"/>
      <c r="BG245" s="183"/>
      <c r="BH245" s="183"/>
      <c r="BI245" s="183"/>
      <c r="BJ245" s="183"/>
      <c r="BK245" s="183"/>
      <c r="BL245" s="183"/>
      <c r="BM245" s="183"/>
      <c r="BN245" s="183"/>
      <c r="BO245" s="183"/>
      <c r="BP245" s="183"/>
      <c r="BQ245" s="183"/>
      <c r="BR245" s="183"/>
      <c r="BS245" s="183"/>
      <c r="BT245" s="183"/>
      <c r="BU245" s="183"/>
      <c r="BV245" s="183"/>
      <c r="BW245" s="183"/>
      <c r="BX245" s="183"/>
      <c r="BY245" s="183"/>
      <c r="BZ245" s="183"/>
      <c r="CA245" s="183"/>
      <c r="CB245" s="183"/>
      <c r="CC245" s="183"/>
      <c r="CD245" s="183"/>
      <c r="CE245" s="183"/>
      <c r="CF245" s="183"/>
      <c r="CG245" s="183"/>
      <c r="CH245" s="183"/>
      <c r="CI245" s="183"/>
    </row>
    <row r="246" spans="1:87" s="173" customFormat="1" x14ac:dyDescent="0.2">
      <c r="A246" s="168" t="s">
        <v>201</v>
      </c>
      <c r="B246" s="169"/>
      <c r="C246" s="169"/>
      <c r="D246" s="170"/>
      <c r="E246" s="171"/>
      <c r="F246" s="171"/>
      <c r="G246" s="171"/>
      <c r="H246" s="171"/>
      <c r="I246" s="171"/>
      <c r="J246" s="171"/>
      <c r="K246" s="171"/>
      <c r="L246" s="171"/>
      <c r="M246" s="172"/>
      <c r="N246" s="171"/>
      <c r="O246" s="171"/>
      <c r="R246" s="172"/>
      <c r="T246" s="174"/>
      <c r="U246" s="174"/>
      <c r="V246" s="174"/>
      <c r="W246" s="174"/>
      <c r="X246" s="174"/>
      <c r="Y246" s="174"/>
      <c r="Z246" s="174"/>
      <c r="AA246" s="174"/>
      <c r="AB246" s="174"/>
      <c r="AC246" s="174"/>
      <c r="AD246" s="174"/>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5"/>
      <c r="BQ246" s="175"/>
      <c r="BR246" s="175"/>
      <c r="BS246" s="175"/>
      <c r="BT246" s="175"/>
      <c r="BU246" s="175"/>
      <c r="BV246" s="175"/>
      <c r="BW246" s="175"/>
      <c r="BX246" s="175"/>
      <c r="BY246" s="175"/>
      <c r="BZ246" s="175"/>
      <c r="CA246" s="175"/>
      <c r="CB246" s="175"/>
      <c r="CC246" s="175"/>
      <c r="CD246" s="175"/>
      <c r="CE246" s="175"/>
      <c r="CF246" s="175"/>
      <c r="CG246" s="175"/>
      <c r="CH246" s="175"/>
      <c r="CI246" s="175"/>
    </row>
    <row r="247" spans="1:87" s="173" customFormat="1" x14ac:dyDescent="0.2">
      <c r="A247" s="168" t="s">
        <v>202</v>
      </c>
      <c r="B247" s="169"/>
      <c r="C247" s="169"/>
      <c r="D247" s="170"/>
      <c r="E247" s="171"/>
      <c r="F247" s="171"/>
      <c r="G247" s="171"/>
      <c r="H247" s="171"/>
      <c r="I247" s="171"/>
      <c r="J247" s="171"/>
      <c r="K247" s="171"/>
      <c r="L247" s="171"/>
      <c r="M247" s="172"/>
      <c r="N247" s="171"/>
      <c r="O247" s="171"/>
      <c r="R247" s="172"/>
      <c r="T247" s="174"/>
      <c r="U247" s="174"/>
      <c r="V247" s="174"/>
      <c r="W247" s="174"/>
      <c r="X247" s="174"/>
      <c r="Y247" s="174"/>
      <c r="Z247" s="174"/>
      <c r="AA247" s="174"/>
      <c r="AB247" s="174"/>
      <c r="AC247" s="174"/>
      <c r="AD247" s="174"/>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c r="AY247" s="175"/>
      <c r="AZ247" s="175"/>
      <c r="BA247" s="175"/>
      <c r="BB247" s="175"/>
      <c r="BC247" s="175"/>
      <c r="BD247" s="175"/>
      <c r="BE247" s="175"/>
      <c r="BF247" s="175"/>
      <c r="BG247" s="175"/>
      <c r="BH247" s="175"/>
      <c r="BI247" s="175"/>
      <c r="BJ247" s="175"/>
      <c r="BK247" s="175"/>
      <c r="BL247" s="175"/>
      <c r="BM247" s="175"/>
      <c r="BN247" s="175"/>
      <c r="BO247" s="175"/>
      <c r="BP247" s="175"/>
      <c r="BQ247" s="175"/>
      <c r="BR247" s="175"/>
      <c r="BS247" s="175"/>
      <c r="BT247" s="175"/>
      <c r="BU247" s="175"/>
      <c r="BV247" s="175"/>
      <c r="BW247" s="175"/>
      <c r="BX247" s="175"/>
      <c r="BY247" s="175"/>
      <c r="BZ247" s="175"/>
      <c r="CA247" s="175"/>
      <c r="CB247" s="175"/>
      <c r="CC247" s="175"/>
      <c r="CD247" s="175"/>
      <c r="CE247" s="175"/>
      <c r="CF247" s="175"/>
      <c r="CG247" s="175"/>
      <c r="CH247" s="175"/>
      <c r="CI247" s="175"/>
    </row>
    <row r="248" spans="1:87" s="181" customFormat="1" x14ac:dyDescent="0.2">
      <c r="A248" s="185" t="s">
        <v>203</v>
      </c>
      <c r="B248" s="177"/>
      <c r="C248" s="177"/>
      <c r="D248" s="178"/>
      <c r="E248" s="179"/>
      <c r="F248" s="179"/>
      <c r="G248" s="179"/>
      <c r="H248" s="179"/>
      <c r="I248" s="179"/>
      <c r="J248" s="179"/>
      <c r="K248" s="179"/>
      <c r="L248" s="179"/>
      <c r="M248" s="180"/>
      <c r="N248" s="179"/>
      <c r="O248" s="179"/>
      <c r="R248" s="180"/>
      <c r="T248" s="182"/>
      <c r="U248" s="182"/>
      <c r="V248" s="182"/>
      <c r="W248" s="182"/>
      <c r="X248" s="182"/>
      <c r="Y248" s="182"/>
      <c r="Z248" s="182"/>
      <c r="AA248" s="182"/>
      <c r="AB248" s="182"/>
      <c r="AC248" s="182"/>
      <c r="AD248" s="182"/>
      <c r="AE248" s="183"/>
      <c r="AF248" s="183"/>
      <c r="AG248" s="183"/>
      <c r="AH248" s="183"/>
      <c r="AI248" s="183"/>
      <c r="AJ248" s="183"/>
      <c r="AK248" s="183"/>
      <c r="AL248" s="183"/>
      <c r="AM248" s="183"/>
      <c r="AN248" s="183"/>
      <c r="AO248" s="183"/>
      <c r="AP248" s="183"/>
      <c r="AQ248" s="183"/>
      <c r="AR248" s="183"/>
      <c r="AS248" s="183"/>
      <c r="AT248" s="183"/>
      <c r="AU248" s="183"/>
      <c r="AV248" s="183"/>
      <c r="AW248" s="183"/>
      <c r="AX248" s="183"/>
      <c r="AY248" s="183"/>
      <c r="AZ248" s="183"/>
      <c r="BA248" s="183"/>
      <c r="BB248" s="183"/>
      <c r="BC248" s="183"/>
      <c r="BD248" s="183"/>
      <c r="BE248" s="183"/>
      <c r="BF248" s="183"/>
      <c r="BG248" s="183"/>
      <c r="BH248" s="183"/>
      <c r="BI248" s="183"/>
      <c r="BJ248" s="183"/>
      <c r="BK248" s="183"/>
      <c r="BL248" s="183"/>
      <c r="BM248" s="183"/>
      <c r="BN248" s="183"/>
      <c r="BO248" s="183"/>
      <c r="BP248" s="183"/>
      <c r="BQ248" s="183"/>
      <c r="BR248" s="183"/>
      <c r="BS248" s="183"/>
      <c r="BT248" s="183"/>
      <c r="BU248" s="183"/>
      <c r="BV248" s="183"/>
      <c r="BW248" s="183"/>
      <c r="BX248" s="183"/>
      <c r="BY248" s="183"/>
      <c r="BZ248" s="183"/>
      <c r="CA248" s="183"/>
      <c r="CB248" s="183"/>
      <c r="CC248" s="183"/>
      <c r="CD248" s="183"/>
      <c r="CE248" s="183"/>
      <c r="CF248" s="183"/>
      <c r="CG248" s="183"/>
      <c r="CH248" s="183"/>
      <c r="CI248" s="183"/>
    </row>
    <row r="249" spans="1:87" s="173" customFormat="1" x14ac:dyDescent="0.2">
      <c r="A249" s="168" t="s">
        <v>204</v>
      </c>
      <c r="B249" s="169"/>
      <c r="C249" s="169"/>
      <c r="D249" s="170"/>
      <c r="E249" s="171"/>
      <c r="F249" s="171"/>
      <c r="G249" s="171"/>
      <c r="H249" s="171"/>
      <c r="I249" s="171"/>
      <c r="J249" s="171"/>
      <c r="K249" s="171"/>
      <c r="L249" s="171"/>
      <c r="M249" s="172"/>
      <c r="N249" s="171"/>
      <c r="O249" s="171"/>
      <c r="R249" s="172"/>
      <c r="T249" s="174"/>
      <c r="U249" s="174"/>
      <c r="V249" s="174"/>
      <c r="W249" s="174"/>
      <c r="X249" s="174"/>
      <c r="Y249" s="174"/>
      <c r="Z249" s="174"/>
      <c r="AA249" s="174"/>
      <c r="AB249" s="174"/>
      <c r="AC249" s="174"/>
      <c r="AD249" s="174"/>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c r="BE249" s="175"/>
      <c r="BF249" s="175"/>
      <c r="BG249" s="175"/>
      <c r="BH249" s="175"/>
      <c r="BI249" s="175"/>
      <c r="BJ249" s="175"/>
      <c r="BK249" s="175"/>
      <c r="BL249" s="175"/>
      <c r="BM249" s="175"/>
      <c r="BN249" s="175"/>
      <c r="BO249" s="175"/>
      <c r="BP249" s="175"/>
      <c r="BQ249" s="175"/>
      <c r="BR249" s="175"/>
      <c r="BS249" s="175"/>
      <c r="BT249" s="175"/>
      <c r="BU249" s="175"/>
      <c r="BV249" s="175"/>
      <c r="BW249" s="175"/>
      <c r="BX249" s="175"/>
      <c r="BY249" s="175"/>
      <c r="BZ249" s="175"/>
      <c r="CA249" s="175"/>
      <c r="CB249" s="175"/>
      <c r="CC249" s="175"/>
      <c r="CD249" s="175"/>
      <c r="CE249" s="175"/>
      <c r="CF249" s="175"/>
      <c r="CG249" s="175"/>
      <c r="CH249" s="175"/>
      <c r="CI249" s="175"/>
    </row>
    <row r="250" spans="1:87" s="181" customFormat="1" x14ac:dyDescent="0.2">
      <c r="A250" s="176" t="s">
        <v>205</v>
      </c>
      <c r="B250" s="177"/>
      <c r="C250" s="177"/>
      <c r="D250" s="178"/>
      <c r="E250" s="179"/>
      <c r="F250" s="179"/>
      <c r="G250" s="179"/>
      <c r="H250" s="179"/>
      <c r="I250" s="179"/>
      <c r="J250" s="179"/>
      <c r="K250" s="179"/>
      <c r="L250" s="179"/>
      <c r="M250" s="180"/>
      <c r="N250" s="179"/>
      <c r="O250" s="179"/>
      <c r="R250" s="180"/>
      <c r="T250" s="182"/>
      <c r="U250" s="182"/>
      <c r="V250" s="182"/>
      <c r="W250" s="182"/>
      <c r="X250" s="182"/>
      <c r="Y250" s="182"/>
      <c r="Z250" s="182"/>
      <c r="AA250" s="182"/>
      <c r="AB250" s="182"/>
      <c r="AC250" s="182"/>
      <c r="AD250" s="182"/>
      <c r="AE250" s="183"/>
      <c r="AF250" s="183"/>
      <c r="AG250" s="183"/>
      <c r="AH250" s="183"/>
      <c r="AI250" s="183"/>
      <c r="AJ250" s="183"/>
      <c r="AK250" s="183"/>
      <c r="AL250" s="183"/>
      <c r="AM250" s="183"/>
      <c r="AN250" s="183"/>
      <c r="AO250" s="183"/>
      <c r="AP250" s="183"/>
      <c r="AQ250" s="183"/>
      <c r="AR250" s="183"/>
      <c r="AS250" s="183"/>
      <c r="AT250" s="183"/>
      <c r="AU250" s="183"/>
      <c r="AV250" s="183"/>
      <c r="AW250" s="183"/>
      <c r="AX250" s="183"/>
      <c r="AY250" s="183"/>
      <c r="AZ250" s="183"/>
      <c r="BA250" s="183"/>
      <c r="BB250" s="183"/>
      <c r="BC250" s="183"/>
      <c r="BD250" s="183"/>
      <c r="BE250" s="183"/>
      <c r="BF250" s="183"/>
      <c r="BG250" s="183"/>
      <c r="BH250" s="183"/>
      <c r="BI250" s="183"/>
      <c r="BJ250" s="183"/>
      <c r="BK250" s="183"/>
      <c r="BL250" s="183"/>
      <c r="BM250" s="183"/>
      <c r="BN250" s="183"/>
      <c r="BO250" s="183"/>
      <c r="BP250" s="183"/>
      <c r="BQ250" s="183"/>
      <c r="BR250" s="183"/>
      <c r="BS250" s="183"/>
      <c r="BT250" s="183"/>
      <c r="BU250" s="183"/>
      <c r="BV250" s="183"/>
      <c r="BW250" s="183"/>
      <c r="BX250" s="183"/>
      <c r="BY250" s="183"/>
      <c r="BZ250" s="183"/>
      <c r="CA250" s="183"/>
      <c r="CB250" s="183"/>
      <c r="CC250" s="183"/>
      <c r="CD250" s="183"/>
      <c r="CE250" s="183"/>
      <c r="CF250" s="183"/>
      <c r="CG250" s="183"/>
      <c r="CH250" s="183"/>
      <c r="CI250" s="183"/>
    </row>
    <row r="251" spans="1:87" s="173" customFormat="1" x14ac:dyDescent="0.2">
      <c r="A251" s="168" t="s">
        <v>206</v>
      </c>
      <c r="B251" s="169"/>
      <c r="C251" s="169"/>
      <c r="D251" s="170"/>
      <c r="E251" s="171"/>
      <c r="F251" s="171"/>
      <c r="G251" s="171"/>
      <c r="H251" s="171"/>
      <c r="I251" s="171"/>
      <c r="J251" s="171"/>
      <c r="K251" s="171"/>
      <c r="L251" s="171"/>
      <c r="M251" s="172"/>
      <c r="N251" s="171"/>
      <c r="O251" s="171"/>
      <c r="R251" s="172"/>
      <c r="T251" s="174"/>
      <c r="U251" s="174"/>
      <c r="V251" s="174"/>
      <c r="W251" s="174"/>
      <c r="X251" s="174"/>
      <c r="Y251" s="174"/>
      <c r="Z251" s="174"/>
      <c r="AA251" s="174"/>
      <c r="AB251" s="174"/>
      <c r="AC251" s="174"/>
      <c r="AD251" s="174"/>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c r="AY251" s="175"/>
      <c r="AZ251" s="175"/>
      <c r="BA251" s="175"/>
      <c r="BB251" s="175"/>
      <c r="BC251" s="175"/>
      <c r="BD251" s="175"/>
      <c r="BE251" s="175"/>
      <c r="BF251" s="175"/>
      <c r="BG251" s="175"/>
      <c r="BH251" s="175"/>
      <c r="BI251" s="175"/>
      <c r="BJ251" s="175"/>
      <c r="BK251" s="175"/>
      <c r="BL251" s="175"/>
      <c r="BM251" s="175"/>
      <c r="BN251" s="175"/>
      <c r="BO251" s="175"/>
      <c r="BP251" s="175"/>
      <c r="BQ251" s="175"/>
      <c r="BR251" s="175"/>
      <c r="BS251" s="175"/>
      <c r="BT251" s="175"/>
      <c r="BU251" s="175"/>
      <c r="BV251" s="175"/>
      <c r="BW251" s="175"/>
      <c r="BX251" s="175"/>
      <c r="BY251" s="175"/>
      <c r="BZ251" s="175"/>
      <c r="CA251" s="175"/>
      <c r="CB251" s="175"/>
      <c r="CC251" s="175"/>
      <c r="CD251" s="175"/>
      <c r="CE251" s="175"/>
      <c r="CF251" s="175"/>
      <c r="CG251" s="175"/>
      <c r="CH251" s="175"/>
      <c r="CI251" s="175"/>
    </row>
    <row r="252" spans="1:87" s="181" customFormat="1" x14ac:dyDescent="0.2">
      <c r="A252" s="167" t="s">
        <v>207</v>
      </c>
      <c r="B252" s="177"/>
      <c r="C252" s="177"/>
      <c r="D252" s="178"/>
      <c r="E252" s="179"/>
      <c r="F252" s="179"/>
      <c r="G252" s="179"/>
      <c r="H252" s="179"/>
      <c r="I252" s="179"/>
      <c r="J252" s="179"/>
      <c r="K252" s="179"/>
      <c r="L252" s="179"/>
      <c r="M252" s="180"/>
      <c r="N252" s="179"/>
      <c r="O252" s="179"/>
      <c r="R252" s="180"/>
      <c r="T252" s="182"/>
      <c r="U252" s="182"/>
      <c r="V252" s="182"/>
      <c r="W252" s="182"/>
      <c r="X252" s="182"/>
      <c r="Y252" s="182"/>
      <c r="Z252" s="182"/>
      <c r="AA252" s="182"/>
      <c r="AB252" s="182"/>
      <c r="AC252" s="182"/>
      <c r="AD252" s="182"/>
      <c r="AE252" s="183"/>
      <c r="AF252" s="183"/>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83"/>
      <c r="BB252" s="183"/>
      <c r="BC252" s="183"/>
      <c r="BD252" s="183"/>
      <c r="BE252" s="183"/>
      <c r="BF252" s="183"/>
      <c r="BG252" s="183"/>
      <c r="BH252" s="183"/>
      <c r="BI252" s="183"/>
      <c r="BJ252" s="183"/>
      <c r="BK252" s="183"/>
      <c r="BL252" s="183"/>
      <c r="BM252" s="183"/>
      <c r="BN252" s="183"/>
      <c r="BO252" s="183"/>
      <c r="BP252" s="183"/>
      <c r="BQ252" s="183"/>
      <c r="BR252" s="183"/>
      <c r="BS252" s="183"/>
      <c r="BT252" s="183"/>
      <c r="BU252" s="183"/>
      <c r="BV252" s="183"/>
      <c r="BW252" s="183"/>
      <c r="BX252" s="183"/>
      <c r="BY252" s="183"/>
      <c r="BZ252" s="183"/>
      <c r="CA252" s="183"/>
      <c r="CB252" s="183"/>
      <c r="CC252" s="183"/>
      <c r="CD252" s="183"/>
      <c r="CE252" s="183"/>
      <c r="CF252" s="183"/>
      <c r="CG252" s="183"/>
      <c r="CH252" s="183"/>
      <c r="CI252" s="183"/>
    </row>
    <row r="253" spans="1:87" x14ac:dyDescent="0.2">
      <c r="B253" s="85"/>
      <c r="C253" s="85"/>
      <c r="H253" s="29"/>
      <c r="M253" s="27"/>
      <c r="R253" s="27"/>
    </row>
    <row r="254" spans="1:87" x14ac:dyDescent="0.2">
      <c r="B254" s="85"/>
      <c r="C254" s="85"/>
      <c r="H254" s="29"/>
      <c r="M254" s="27"/>
      <c r="R254" s="27"/>
    </row>
    <row r="255" spans="1:87" x14ac:dyDescent="0.2">
      <c r="B255" s="85"/>
      <c r="C255" s="85"/>
      <c r="H255" s="29"/>
      <c r="M255" s="27"/>
      <c r="R255" s="27"/>
    </row>
    <row r="256" spans="1:87" x14ac:dyDescent="0.2">
      <c r="B256" s="85"/>
      <c r="C256" s="85"/>
      <c r="H256" s="29"/>
      <c r="M256" s="27"/>
      <c r="R256" s="27"/>
    </row>
    <row r="257" spans="2:18" x14ac:dyDescent="0.2">
      <c r="B257" s="85"/>
      <c r="C257" s="85"/>
      <c r="H257" s="29"/>
      <c r="M257" s="27"/>
      <c r="R257" s="27"/>
    </row>
    <row r="258" spans="2:18" x14ac:dyDescent="0.2">
      <c r="B258" s="85"/>
      <c r="C258" s="85"/>
      <c r="H258" s="29"/>
      <c r="M258" s="27"/>
      <c r="R258" s="27"/>
    </row>
    <row r="259" spans="2:18" x14ac:dyDescent="0.2">
      <c r="B259" s="85"/>
      <c r="C259" s="85"/>
      <c r="H259" s="29"/>
      <c r="M259" s="27"/>
      <c r="R259" s="27"/>
    </row>
    <row r="260" spans="2:18" x14ac:dyDescent="0.2">
      <c r="B260" s="85"/>
      <c r="C260" s="85"/>
      <c r="H260" s="29"/>
      <c r="M260" s="27"/>
      <c r="R260" s="27"/>
    </row>
    <row r="261" spans="2:18" x14ac:dyDescent="0.2">
      <c r="B261" s="85"/>
      <c r="C261" s="85"/>
      <c r="H261" s="29"/>
      <c r="M261" s="27"/>
    </row>
    <row r="262" spans="2:18" x14ac:dyDescent="0.2">
      <c r="B262" s="85"/>
      <c r="C262" s="85"/>
      <c r="H262" s="29"/>
      <c r="M262" s="27"/>
    </row>
    <row r="263" spans="2:18" x14ac:dyDescent="0.2">
      <c r="B263" s="85"/>
      <c r="C263" s="85"/>
      <c r="H263" s="29"/>
      <c r="M263" s="27"/>
    </row>
    <row r="264" spans="2:18" x14ac:dyDescent="0.2">
      <c r="B264" s="85"/>
      <c r="C264" s="85"/>
      <c r="H264" s="29"/>
      <c r="M264" s="27"/>
    </row>
    <row r="265" spans="2:18" x14ac:dyDescent="0.2">
      <c r="B265" s="85"/>
      <c r="C265" s="85"/>
      <c r="H265" s="29"/>
      <c r="M265" s="27"/>
    </row>
    <row r="266" spans="2:18" x14ac:dyDescent="0.2">
      <c r="B266" s="85"/>
      <c r="C266" s="85"/>
      <c r="H266" s="29"/>
      <c r="M266" s="27"/>
    </row>
    <row r="267" spans="2:18" x14ac:dyDescent="0.2">
      <c r="B267" s="85"/>
      <c r="C267" s="85"/>
      <c r="H267" s="29"/>
      <c r="M267" s="27"/>
    </row>
    <row r="268" spans="2:18" x14ac:dyDescent="0.2">
      <c r="B268" s="85"/>
      <c r="C268" s="85"/>
      <c r="H268" s="29"/>
      <c r="M268" s="27"/>
    </row>
    <row r="269" spans="2:18" x14ac:dyDescent="0.2">
      <c r="B269" s="85"/>
      <c r="C269" s="85"/>
      <c r="H269" s="29"/>
      <c r="M269" s="27"/>
    </row>
    <row r="270" spans="2:18" x14ac:dyDescent="0.2">
      <c r="B270" s="85"/>
      <c r="C270" s="85"/>
      <c r="H270" s="29"/>
      <c r="M270" s="27"/>
    </row>
    <row r="271" spans="2:18" x14ac:dyDescent="0.2">
      <c r="B271" s="85"/>
      <c r="C271" s="85"/>
      <c r="H271" s="29"/>
      <c r="M271" s="27"/>
    </row>
    <row r="272" spans="2:18" x14ac:dyDescent="0.2">
      <c r="B272" s="85"/>
      <c r="C272" s="85"/>
      <c r="H272" s="29"/>
      <c r="M272" s="27"/>
    </row>
    <row r="273" spans="2:13" x14ac:dyDescent="0.2">
      <c r="B273" s="85"/>
      <c r="C273" s="85"/>
      <c r="H273" s="29"/>
      <c r="M273" s="27"/>
    </row>
    <row r="274" spans="2:13" x14ac:dyDescent="0.2">
      <c r="B274" s="85"/>
      <c r="C274" s="85"/>
      <c r="H274" s="29"/>
      <c r="M274" s="27"/>
    </row>
    <row r="275" spans="2:13" x14ac:dyDescent="0.2">
      <c r="B275" s="85"/>
      <c r="C275" s="85"/>
      <c r="H275" s="29"/>
      <c r="M275" s="27"/>
    </row>
    <row r="276" spans="2:13" x14ac:dyDescent="0.2">
      <c r="B276" s="85"/>
      <c r="C276" s="85"/>
      <c r="H276" s="29"/>
      <c r="M276" s="27"/>
    </row>
    <row r="277" spans="2:13" x14ac:dyDescent="0.2">
      <c r="B277" s="85"/>
      <c r="C277" s="85"/>
      <c r="H277" s="29"/>
      <c r="M277" s="27"/>
    </row>
    <row r="278" spans="2:13" x14ac:dyDescent="0.2">
      <c r="B278" s="85"/>
      <c r="C278" s="85"/>
      <c r="H278" s="29"/>
      <c r="M278" s="27"/>
    </row>
    <row r="279" spans="2:13" x14ac:dyDescent="0.2">
      <c r="B279" s="85"/>
      <c r="C279" s="85"/>
      <c r="H279" s="29"/>
      <c r="M279" s="27"/>
    </row>
    <row r="280" spans="2:13" x14ac:dyDescent="0.2">
      <c r="B280" s="85"/>
      <c r="C280" s="85"/>
      <c r="H280" s="29"/>
      <c r="M280" s="27"/>
    </row>
    <row r="281" spans="2:13" x14ac:dyDescent="0.2">
      <c r="B281" s="85"/>
      <c r="C281" s="85"/>
      <c r="H281" s="29"/>
      <c r="M281" s="27"/>
    </row>
    <row r="282" spans="2:13" x14ac:dyDescent="0.2">
      <c r="B282" s="85"/>
      <c r="C282" s="85"/>
      <c r="H282" s="29"/>
      <c r="M282" s="27"/>
    </row>
    <row r="283" spans="2:13" x14ac:dyDescent="0.2">
      <c r="B283" s="85"/>
      <c r="C283" s="85"/>
      <c r="H283" s="29"/>
      <c r="M283" s="27"/>
    </row>
    <row r="284" spans="2:13" x14ac:dyDescent="0.2">
      <c r="B284" s="85"/>
      <c r="C284" s="85"/>
      <c r="H284" s="29"/>
      <c r="M284" s="27"/>
    </row>
    <row r="285" spans="2:13" x14ac:dyDescent="0.2">
      <c r="B285" s="85"/>
      <c r="C285" s="85"/>
      <c r="H285" s="29"/>
      <c r="M285" s="27"/>
    </row>
    <row r="286" spans="2:13" x14ac:dyDescent="0.2">
      <c r="B286" s="85"/>
      <c r="C286" s="85"/>
      <c r="H286" s="29"/>
      <c r="M286" s="27"/>
    </row>
    <row r="287" spans="2:13" x14ac:dyDescent="0.2">
      <c r="B287" s="85"/>
      <c r="C287" s="85"/>
      <c r="H287" s="29"/>
      <c r="M287" s="27"/>
    </row>
    <row r="288" spans="2:13" x14ac:dyDescent="0.2">
      <c r="B288" s="85"/>
      <c r="C288" s="85"/>
      <c r="H288" s="29"/>
      <c r="M288" s="27"/>
    </row>
    <row r="289" spans="2:13" x14ac:dyDescent="0.2">
      <c r="B289" s="85"/>
      <c r="C289" s="85"/>
      <c r="H289" s="29"/>
      <c r="M289" s="27"/>
    </row>
    <row r="290" spans="2:13" x14ac:dyDescent="0.2">
      <c r="B290" s="85"/>
      <c r="C290" s="85"/>
      <c r="H290" s="29"/>
      <c r="M290" s="27"/>
    </row>
    <row r="291" spans="2:13" x14ac:dyDescent="0.2">
      <c r="B291" s="85"/>
      <c r="C291" s="85"/>
      <c r="H291" s="29"/>
      <c r="M291" s="27"/>
    </row>
    <row r="292" spans="2:13" x14ac:dyDescent="0.2">
      <c r="B292" s="85"/>
      <c r="C292" s="85"/>
      <c r="H292" s="29"/>
      <c r="M292" s="27"/>
    </row>
    <row r="293" spans="2:13" x14ac:dyDescent="0.2">
      <c r="B293" s="85"/>
      <c r="C293" s="85"/>
      <c r="H293" s="29"/>
      <c r="M293" s="27"/>
    </row>
    <row r="294" spans="2:13" x14ac:dyDescent="0.2">
      <c r="B294" s="85"/>
      <c r="C294" s="85"/>
      <c r="H294" s="29"/>
      <c r="M294" s="27"/>
    </row>
    <row r="295" spans="2:13" x14ac:dyDescent="0.2">
      <c r="B295" s="85"/>
      <c r="C295" s="85"/>
      <c r="H295" s="29"/>
      <c r="M295" s="27"/>
    </row>
    <row r="296" spans="2:13" x14ac:dyDescent="0.2">
      <c r="B296" s="85"/>
      <c r="C296" s="85"/>
      <c r="H296" s="29"/>
      <c r="M296" s="27"/>
    </row>
    <row r="297" spans="2:13" x14ac:dyDescent="0.2">
      <c r="B297" s="85"/>
      <c r="C297" s="85"/>
      <c r="H297" s="29"/>
      <c r="M297" s="27"/>
    </row>
    <row r="298" spans="2:13" x14ac:dyDescent="0.2">
      <c r="B298" s="85"/>
      <c r="C298" s="85"/>
      <c r="H298" s="29"/>
      <c r="M298" s="27"/>
    </row>
    <row r="299" spans="2:13" x14ac:dyDescent="0.2">
      <c r="B299" s="85"/>
      <c r="C299" s="85"/>
      <c r="H299" s="29"/>
      <c r="M299" s="27"/>
    </row>
    <row r="300" spans="2:13" x14ac:dyDescent="0.2">
      <c r="B300" s="85"/>
      <c r="C300" s="85"/>
      <c r="H300" s="29"/>
      <c r="M300" s="27"/>
    </row>
    <row r="301" spans="2:13" x14ac:dyDescent="0.2">
      <c r="B301" s="85"/>
      <c r="C301" s="85"/>
      <c r="H301" s="29"/>
      <c r="M301" s="27"/>
    </row>
    <row r="302" spans="2:13" x14ac:dyDescent="0.2">
      <c r="B302" s="85"/>
      <c r="C302" s="85"/>
      <c r="H302" s="29"/>
      <c r="M302" s="27"/>
    </row>
    <row r="303" spans="2:13" x14ac:dyDescent="0.2">
      <c r="B303" s="85"/>
      <c r="C303" s="85"/>
      <c r="H303" s="29"/>
      <c r="M303" s="27"/>
    </row>
    <row r="304" spans="2:13" x14ac:dyDescent="0.2">
      <c r="B304" s="85"/>
      <c r="C304" s="85"/>
      <c r="H304" s="29"/>
      <c r="M304" s="27"/>
    </row>
    <row r="305" spans="2:13" x14ac:dyDescent="0.2">
      <c r="B305" s="85"/>
      <c r="C305" s="85"/>
      <c r="H305" s="29"/>
      <c r="M305" s="27"/>
    </row>
    <row r="306" spans="2:13" x14ac:dyDescent="0.2">
      <c r="B306" s="85"/>
      <c r="C306" s="85"/>
      <c r="H306" s="29"/>
      <c r="M306" s="27"/>
    </row>
    <row r="307" spans="2:13" x14ac:dyDescent="0.2">
      <c r="B307" s="85"/>
      <c r="C307" s="85"/>
      <c r="H307" s="29"/>
      <c r="M307" s="27"/>
    </row>
    <row r="308" spans="2:13" x14ac:dyDescent="0.2">
      <c r="B308" s="85"/>
      <c r="C308" s="85"/>
      <c r="H308" s="29"/>
      <c r="M308" s="27"/>
    </row>
    <row r="309" spans="2:13" x14ac:dyDescent="0.2">
      <c r="B309" s="85"/>
      <c r="C309" s="85"/>
      <c r="H309" s="29"/>
      <c r="M309" s="27"/>
    </row>
    <row r="310" spans="2:13" x14ac:dyDescent="0.2">
      <c r="B310" s="85"/>
      <c r="C310" s="85"/>
      <c r="H310" s="29"/>
      <c r="M310" s="27"/>
    </row>
    <row r="311" spans="2:13" x14ac:dyDescent="0.2">
      <c r="B311" s="85"/>
      <c r="C311" s="85"/>
      <c r="H311" s="29"/>
      <c r="M311" s="27"/>
    </row>
    <row r="312" spans="2:13" x14ac:dyDescent="0.2">
      <c r="B312" s="85"/>
      <c r="C312" s="85"/>
      <c r="H312" s="29"/>
      <c r="M312" s="27"/>
    </row>
    <row r="313" spans="2:13" x14ac:dyDescent="0.2">
      <c r="B313" s="85"/>
      <c r="C313" s="85"/>
      <c r="H313" s="29"/>
      <c r="M313" s="27"/>
    </row>
    <row r="314" spans="2:13" x14ac:dyDescent="0.2">
      <c r="B314" s="85"/>
      <c r="C314" s="85"/>
      <c r="H314" s="29"/>
      <c r="M314" s="27"/>
    </row>
    <row r="315" spans="2:13" x14ac:dyDescent="0.2">
      <c r="B315" s="85"/>
      <c r="C315" s="85"/>
      <c r="H315" s="29"/>
      <c r="M315" s="27"/>
    </row>
    <row r="316" spans="2:13" x14ac:dyDescent="0.2">
      <c r="B316" s="85"/>
      <c r="C316" s="85"/>
      <c r="H316" s="29"/>
      <c r="M316" s="27"/>
    </row>
    <row r="317" spans="2:13" x14ac:dyDescent="0.2">
      <c r="B317" s="85"/>
      <c r="C317" s="85"/>
      <c r="H317" s="29"/>
      <c r="M317" s="27"/>
    </row>
    <row r="318" spans="2:13" x14ac:dyDescent="0.2">
      <c r="B318" s="85"/>
      <c r="C318" s="85"/>
      <c r="H318" s="29"/>
      <c r="M318" s="27"/>
    </row>
    <row r="319" spans="2:13" x14ac:dyDescent="0.2">
      <c r="B319" s="85"/>
      <c r="C319" s="85"/>
      <c r="H319" s="29"/>
      <c r="M319" s="27"/>
    </row>
    <row r="320" spans="2:13" x14ac:dyDescent="0.2">
      <c r="B320" s="85"/>
      <c r="C320" s="85"/>
      <c r="H320" s="29"/>
      <c r="M320" s="27"/>
    </row>
    <row r="321" spans="2:13" x14ac:dyDescent="0.2">
      <c r="B321" s="85"/>
      <c r="C321" s="85"/>
      <c r="H321" s="29"/>
      <c r="M321" s="27"/>
    </row>
    <row r="322" spans="2:13" x14ac:dyDescent="0.2">
      <c r="B322" s="85"/>
      <c r="C322" s="85"/>
      <c r="H322" s="29"/>
      <c r="M322" s="27"/>
    </row>
    <row r="323" spans="2:13" x14ac:dyDescent="0.2">
      <c r="B323" s="85"/>
      <c r="C323" s="85"/>
      <c r="H323" s="29"/>
      <c r="M323" s="27"/>
    </row>
    <row r="324" spans="2:13" x14ac:dyDescent="0.2">
      <c r="B324" s="85"/>
      <c r="C324" s="85"/>
      <c r="H324" s="29"/>
      <c r="M324" s="27"/>
    </row>
    <row r="325" spans="2:13" x14ac:dyDescent="0.2">
      <c r="B325" s="85"/>
      <c r="C325" s="85"/>
      <c r="H325" s="29"/>
      <c r="M325" s="27"/>
    </row>
    <row r="326" spans="2:13" x14ac:dyDescent="0.2">
      <c r="B326" s="85"/>
      <c r="C326" s="85"/>
      <c r="H326" s="29"/>
      <c r="M326" s="27"/>
    </row>
    <row r="327" spans="2:13" x14ac:dyDescent="0.2">
      <c r="B327" s="85"/>
      <c r="C327" s="85"/>
      <c r="H327" s="29"/>
      <c r="M327" s="27"/>
    </row>
    <row r="328" spans="2:13" x14ac:dyDescent="0.2">
      <c r="B328" s="85"/>
      <c r="C328" s="85"/>
      <c r="H328" s="29"/>
      <c r="M328" s="27"/>
    </row>
    <row r="329" spans="2:13" x14ac:dyDescent="0.2">
      <c r="B329" s="85"/>
      <c r="C329" s="85"/>
      <c r="H329" s="29"/>
      <c r="M329" s="27"/>
    </row>
    <row r="330" spans="2:13" x14ac:dyDescent="0.2">
      <c r="B330" s="85"/>
      <c r="C330" s="85"/>
      <c r="H330" s="29"/>
      <c r="M330" s="27"/>
    </row>
    <row r="331" spans="2:13" x14ac:dyDescent="0.2">
      <c r="B331" s="85"/>
      <c r="C331" s="85"/>
      <c r="H331" s="29"/>
      <c r="M331" s="27"/>
    </row>
    <row r="332" spans="2:13" x14ac:dyDescent="0.2">
      <c r="B332" s="85"/>
      <c r="C332" s="85"/>
      <c r="H332" s="29"/>
      <c r="M332" s="27"/>
    </row>
    <row r="333" spans="2:13" x14ac:dyDescent="0.2">
      <c r="B333" s="85"/>
      <c r="C333" s="85"/>
      <c r="H333" s="29"/>
      <c r="M333" s="27"/>
    </row>
    <row r="334" spans="2:13" x14ac:dyDescent="0.2">
      <c r="B334" s="85"/>
      <c r="C334" s="85"/>
      <c r="H334" s="29"/>
      <c r="M334" s="27"/>
    </row>
    <row r="335" spans="2:13" x14ac:dyDescent="0.2">
      <c r="B335" s="85"/>
      <c r="C335" s="85"/>
      <c r="H335" s="29"/>
      <c r="M335" s="27"/>
    </row>
    <row r="336" spans="2:13" x14ac:dyDescent="0.2">
      <c r="B336" s="85"/>
      <c r="C336" s="85"/>
      <c r="H336" s="29"/>
      <c r="M336" s="27"/>
    </row>
    <row r="337" spans="2:13" x14ac:dyDescent="0.2">
      <c r="B337" s="85"/>
      <c r="C337" s="85"/>
      <c r="H337" s="29"/>
      <c r="M337" s="27"/>
    </row>
    <row r="338" spans="2:13" x14ac:dyDescent="0.2">
      <c r="B338" s="85"/>
      <c r="C338" s="85"/>
      <c r="H338" s="29"/>
      <c r="M338" s="27"/>
    </row>
    <row r="339" spans="2:13" x14ac:dyDescent="0.2">
      <c r="B339" s="85"/>
      <c r="C339" s="85"/>
      <c r="H339" s="29"/>
      <c r="M339" s="27"/>
    </row>
    <row r="340" spans="2:13" x14ac:dyDescent="0.2">
      <c r="B340" s="85"/>
      <c r="C340" s="85"/>
      <c r="H340" s="29"/>
      <c r="M340" s="27"/>
    </row>
    <row r="341" spans="2:13" x14ac:dyDescent="0.2">
      <c r="B341" s="85"/>
      <c r="C341" s="85"/>
      <c r="H341" s="29"/>
      <c r="M341" s="27"/>
    </row>
    <row r="342" spans="2:13" x14ac:dyDescent="0.2">
      <c r="B342" s="85"/>
      <c r="C342" s="85"/>
      <c r="H342" s="29"/>
      <c r="M342" s="27"/>
    </row>
    <row r="343" spans="2:13" x14ac:dyDescent="0.2">
      <c r="B343" s="85"/>
      <c r="C343" s="85"/>
      <c r="H343" s="29"/>
      <c r="M343" s="27"/>
    </row>
    <row r="344" spans="2:13" x14ac:dyDescent="0.2">
      <c r="B344" s="85"/>
      <c r="C344" s="85"/>
      <c r="H344" s="29"/>
      <c r="M344" s="27"/>
    </row>
    <row r="345" spans="2:13" x14ac:dyDescent="0.2">
      <c r="B345" s="85"/>
      <c r="C345" s="85"/>
      <c r="H345" s="29"/>
      <c r="M345" s="27"/>
    </row>
    <row r="346" spans="2:13" x14ac:dyDescent="0.2">
      <c r="B346" s="85"/>
      <c r="C346" s="85"/>
      <c r="H346" s="29"/>
      <c r="M346" s="27"/>
    </row>
    <row r="347" spans="2:13" x14ac:dyDescent="0.2">
      <c r="B347" s="85"/>
      <c r="C347" s="85"/>
      <c r="H347" s="29"/>
      <c r="M347" s="27"/>
    </row>
    <row r="348" spans="2:13" x14ac:dyDescent="0.2">
      <c r="B348" s="85"/>
      <c r="C348" s="85"/>
      <c r="H348" s="29"/>
      <c r="M348" s="27"/>
    </row>
    <row r="349" spans="2:13" x14ac:dyDescent="0.2">
      <c r="B349" s="85"/>
      <c r="C349" s="85"/>
      <c r="H349" s="29"/>
      <c r="M349" s="27"/>
    </row>
    <row r="350" spans="2:13" x14ac:dyDescent="0.2">
      <c r="B350" s="85"/>
      <c r="C350" s="85"/>
      <c r="H350" s="29"/>
      <c r="M350" s="27"/>
    </row>
    <row r="351" spans="2:13" x14ac:dyDescent="0.2">
      <c r="B351" s="85"/>
      <c r="C351" s="85"/>
      <c r="H351" s="29"/>
      <c r="M351" s="27"/>
    </row>
    <row r="352" spans="2:13" x14ac:dyDescent="0.2">
      <c r="B352" s="85"/>
      <c r="C352" s="85"/>
      <c r="H352" s="29"/>
      <c r="M352" s="27"/>
    </row>
    <row r="353" spans="2:13" x14ac:dyDescent="0.2">
      <c r="B353" s="85"/>
      <c r="C353" s="85"/>
      <c r="H353" s="29"/>
      <c r="M353" s="27"/>
    </row>
    <row r="354" spans="2:13" x14ac:dyDescent="0.2">
      <c r="B354" s="85"/>
      <c r="C354" s="85"/>
      <c r="H354" s="29"/>
      <c r="M354" s="27"/>
    </row>
    <row r="355" spans="2:13" x14ac:dyDescent="0.2">
      <c r="B355" s="85"/>
      <c r="C355" s="85"/>
      <c r="H355" s="29"/>
      <c r="M355" s="27"/>
    </row>
    <row r="356" spans="2:13" x14ac:dyDescent="0.2">
      <c r="B356" s="85"/>
      <c r="C356" s="85"/>
      <c r="H356" s="29"/>
      <c r="M356" s="27"/>
    </row>
    <row r="357" spans="2:13" x14ac:dyDescent="0.2">
      <c r="B357" s="85"/>
      <c r="C357" s="85"/>
      <c r="H357" s="29"/>
      <c r="M357" s="27"/>
    </row>
    <row r="358" spans="2:13" x14ac:dyDescent="0.2">
      <c r="B358" s="85"/>
      <c r="C358" s="85"/>
      <c r="H358" s="29"/>
      <c r="M358" s="27"/>
    </row>
    <row r="359" spans="2:13" x14ac:dyDescent="0.2">
      <c r="B359" s="85"/>
      <c r="C359" s="85"/>
      <c r="H359" s="29"/>
      <c r="M359" s="27"/>
    </row>
    <row r="360" spans="2:13" x14ac:dyDescent="0.2">
      <c r="B360" s="85"/>
      <c r="C360" s="85"/>
      <c r="H360" s="29"/>
      <c r="M360" s="27"/>
    </row>
    <row r="361" spans="2:13" x14ac:dyDescent="0.2">
      <c r="B361" s="85"/>
      <c r="C361" s="85"/>
      <c r="H361" s="29"/>
      <c r="M361" s="27"/>
    </row>
    <row r="362" spans="2:13" x14ac:dyDescent="0.2">
      <c r="B362" s="85"/>
      <c r="C362" s="85"/>
      <c r="H362" s="29"/>
      <c r="M362" s="27"/>
    </row>
    <row r="363" spans="2:13" x14ac:dyDescent="0.2">
      <c r="B363" s="85"/>
      <c r="C363" s="85"/>
      <c r="H363" s="29"/>
      <c r="M363" s="27"/>
    </row>
    <row r="364" spans="2:13" x14ac:dyDescent="0.2">
      <c r="B364" s="85"/>
      <c r="C364" s="85"/>
      <c r="H364" s="29"/>
      <c r="M364" s="27"/>
    </row>
    <row r="365" spans="2:13" x14ac:dyDescent="0.2">
      <c r="B365" s="85"/>
      <c r="C365" s="85"/>
      <c r="H365" s="29"/>
      <c r="M365" s="27"/>
    </row>
    <row r="366" spans="2:13" x14ac:dyDescent="0.2">
      <c r="B366" s="85"/>
      <c r="C366" s="85"/>
      <c r="H366" s="29"/>
      <c r="M366" s="27"/>
    </row>
    <row r="367" spans="2:13" x14ac:dyDescent="0.2">
      <c r="B367" s="85"/>
      <c r="C367" s="85"/>
      <c r="H367" s="29"/>
      <c r="M367" s="27"/>
    </row>
    <row r="368" spans="2:13" x14ac:dyDescent="0.2">
      <c r="B368" s="85"/>
      <c r="C368" s="85"/>
      <c r="H368" s="29"/>
      <c r="M368" s="27"/>
    </row>
    <row r="369" spans="2:13" x14ac:dyDescent="0.2">
      <c r="B369" s="85"/>
      <c r="C369" s="85"/>
      <c r="H369" s="29"/>
      <c r="M369" s="27"/>
    </row>
    <row r="370" spans="2:13" x14ac:dyDescent="0.2">
      <c r="B370" s="85"/>
      <c r="C370" s="85"/>
      <c r="H370" s="29"/>
      <c r="M370" s="27"/>
    </row>
    <row r="371" spans="2:13" x14ac:dyDescent="0.2">
      <c r="B371" s="85"/>
      <c r="C371" s="85"/>
      <c r="H371" s="29"/>
      <c r="M371" s="27"/>
    </row>
    <row r="372" spans="2:13" x14ac:dyDescent="0.2">
      <c r="B372" s="85"/>
      <c r="C372" s="85"/>
      <c r="H372" s="29"/>
      <c r="M372" s="27"/>
    </row>
    <row r="373" spans="2:13" x14ac:dyDescent="0.2">
      <c r="B373" s="85"/>
      <c r="C373" s="85"/>
      <c r="H373" s="29"/>
      <c r="M373" s="27"/>
    </row>
    <row r="374" spans="2:13" x14ac:dyDescent="0.2">
      <c r="B374" s="85"/>
      <c r="C374" s="85"/>
      <c r="H374" s="29"/>
      <c r="M374" s="27"/>
    </row>
    <row r="375" spans="2:13" x14ac:dyDescent="0.2">
      <c r="B375" s="85"/>
      <c r="C375" s="85"/>
      <c r="H375" s="29"/>
      <c r="M375" s="27"/>
    </row>
    <row r="376" spans="2:13" x14ac:dyDescent="0.2">
      <c r="B376" s="85"/>
      <c r="C376" s="85"/>
      <c r="H376" s="29"/>
      <c r="M376" s="27"/>
    </row>
    <row r="377" spans="2:13" x14ac:dyDescent="0.2">
      <c r="B377" s="85"/>
      <c r="C377" s="85"/>
      <c r="H377" s="29"/>
      <c r="M377" s="27"/>
    </row>
    <row r="378" spans="2:13" x14ac:dyDescent="0.2">
      <c r="B378" s="85"/>
      <c r="C378" s="85"/>
      <c r="H378" s="29"/>
      <c r="M378" s="27"/>
    </row>
    <row r="379" spans="2:13" x14ac:dyDescent="0.2">
      <c r="B379" s="85"/>
      <c r="C379" s="85"/>
      <c r="H379" s="29"/>
      <c r="M379" s="27"/>
    </row>
    <row r="380" spans="2:13" x14ac:dyDescent="0.2">
      <c r="B380" s="85"/>
      <c r="C380" s="85"/>
      <c r="H380" s="29"/>
      <c r="M380" s="27"/>
    </row>
    <row r="381" spans="2:13" x14ac:dyDescent="0.2">
      <c r="B381" s="85"/>
      <c r="C381" s="85"/>
      <c r="H381" s="29"/>
      <c r="M381" s="27"/>
    </row>
    <row r="382" spans="2:13" x14ac:dyDescent="0.2">
      <c r="B382" s="85"/>
      <c r="C382" s="85"/>
      <c r="H382" s="29"/>
      <c r="M382" s="27"/>
    </row>
    <row r="383" spans="2:13" x14ac:dyDescent="0.2">
      <c r="B383" s="85"/>
      <c r="C383" s="85"/>
      <c r="H383" s="29"/>
      <c r="M383" s="27"/>
    </row>
    <row r="384" spans="2:13" x14ac:dyDescent="0.2">
      <c r="B384" s="85"/>
      <c r="C384" s="85"/>
      <c r="H384" s="29"/>
      <c r="M384" s="27"/>
    </row>
    <row r="385" spans="2:13" x14ac:dyDescent="0.2">
      <c r="B385" s="85"/>
      <c r="C385" s="85"/>
      <c r="H385" s="29"/>
      <c r="M385" s="27"/>
    </row>
    <row r="386" spans="2:13" x14ac:dyDescent="0.2">
      <c r="B386" s="85"/>
      <c r="C386" s="85"/>
      <c r="H386" s="29"/>
      <c r="M386" s="27"/>
    </row>
    <row r="387" spans="2:13" x14ac:dyDescent="0.2">
      <c r="B387" s="85"/>
      <c r="C387" s="85"/>
      <c r="H387" s="29"/>
      <c r="M387" s="27"/>
    </row>
    <row r="388" spans="2:13" x14ac:dyDescent="0.2">
      <c r="B388" s="85"/>
      <c r="C388" s="85"/>
      <c r="H388" s="29"/>
      <c r="M388" s="27"/>
    </row>
    <row r="389" spans="2:13" x14ac:dyDescent="0.2">
      <c r="B389" s="85"/>
      <c r="C389" s="85"/>
      <c r="H389" s="29"/>
      <c r="M389" s="27"/>
    </row>
    <row r="390" spans="2:13" x14ac:dyDescent="0.2">
      <c r="B390" s="85"/>
      <c r="C390" s="85"/>
      <c r="H390" s="29"/>
      <c r="M390" s="27"/>
    </row>
    <row r="391" spans="2:13" x14ac:dyDescent="0.2">
      <c r="B391" s="85"/>
      <c r="C391" s="85"/>
      <c r="H391" s="29"/>
      <c r="M391" s="27"/>
    </row>
    <row r="392" spans="2:13" x14ac:dyDescent="0.2">
      <c r="B392" s="85"/>
      <c r="C392" s="85"/>
      <c r="H392" s="29"/>
      <c r="M392" s="27"/>
    </row>
    <row r="393" spans="2:13" x14ac:dyDescent="0.2">
      <c r="B393" s="85"/>
      <c r="C393" s="85"/>
      <c r="H393" s="29"/>
      <c r="M393" s="27"/>
    </row>
    <row r="394" spans="2:13" x14ac:dyDescent="0.2">
      <c r="B394" s="85"/>
      <c r="C394" s="85"/>
      <c r="H394" s="29"/>
      <c r="M394" s="27"/>
    </row>
    <row r="395" spans="2:13" x14ac:dyDescent="0.2">
      <c r="B395" s="85"/>
      <c r="C395" s="85"/>
      <c r="H395" s="29"/>
      <c r="M395" s="27"/>
    </row>
    <row r="396" spans="2:13" x14ac:dyDescent="0.2">
      <c r="B396" s="85"/>
      <c r="C396" s="85"/>
      <c r="H396" s="29"/>
      <c r="M396" s="27"/>
    </row>
    <row r="397" spans="2:13" x14ac:dyDescent="0.2">
      <c r="B397" s="85"/>
      <c r="C397" s="85"/>
      <c r="H397" s="29"/>
      <c r="M397" s="27"/>
    </row>
    <row r="398" spans="2:13" x14ac:dyDescent="0.2">
      <c r="B398" s="85"/>
      <c r="C398" s="85"/>
      <c r="H398" s="29"/>
      <c r="M398" s="27"/>
    </row>
    <row r="399" spans="2:13" x14ac:dyDescent="0.2">
      <c r="B399" s="85"/>
      <c r="C399" s="85"/>
      <c r="H399" s="29"/>
      <c r="M399" s="27"/>
    </row>
    <row r="400" spans="2:13" x14ac:dyDescent="0.2">
      <c r="B400" s="85"/>
      <c r="C400" s="85"/>
      <c r="H400" s="29"/>
      <c r="M400" s="27"/>
    </row>
    <row r="401" spans="2:13" x14ac:dyDescent="0.2">
      <c r="B401" s="85"/>
      <c r="C401" s="85"/>
      <c r="H401" s="29"/>
      <c r="M401" s="27"/>
    </row>
    <row r="402" spans="2:13" x14ac:dyDescent="0.2">
      <c r="B402" s="85"/>
      <c r="C402" s="85"/>
      <c r="H402" s="29"/>
      <c r="M402" s="27"/>
    </row>
    <row r="403" spans="2:13" x14ac:dyDescent="0.2">
      <c r="B403" s="85"/>
      <c r="C403" s="85"/>
      <c r="H403" s="29"/>
      <c r="M403" s="27"/>
    </row>
    <row r="404" spans="2:13" x14ac:dyDescent="0.2">
      <c r="B404" s="85"/>
      <c r="C404" s="85"/>
      <c r="H404" s="29"/>
      <c r="M404" s="27"/>
    </row>
    <row r="405" spans="2:13" x14ac:dyDescent="0.2">
      <c r="B405" s="85"/>
      <c r="C405" s="85"/>
      <c r="H405" s="29"/>
      <c r="M405" s="27"/>
    </row>
    <row r="406" spans="2:13" x14ac:dyDescent="0.2">
      <c r="B406" s="85"/>
      <c r="C406" s="85"/>
      <c r="H406" s="29"/>
      <c r="M406" s="27"/>
    </row>
    <row r="407" spans="2:13" x14ac:dyDescent="0.2">
      <c r="B407" s="85"/>
      <c r="C407" s="85"/>
      <c r="H407" s="29"/>
      <c r="M407" s="27"/>
    </row>
    <row r="408" spans="2:13" x14ac:dyDescent="0.2">
      <c r="B408" s="85"/>
      <c r="C408" s="85"/>
      <c r="H408" s="29"/>
      <c r="M408" s="27"/>
    </row>
    <row r="409" spans="2:13" x14ac:dyDescent="0.2">
      <c r="B409" s="85"/>
      <c r="C409" s="85"/>
      <c r="H409" s="29"/>
      <c r="M409" s="27"/>
    </row>
    <row r="410" spans="2:13" x14ac:dyDescent="0.2">
      <c r="B410" s="85"/>
      <c r="C410" s="85"/>
      <c r="H410" s="29"/>
      <c r="M410" s="27"/>
    </row>
    <row r="411" spans="2:13" x14ac:dyDescent="0.2">
      <c r="B411" s="85"/>
      <c r="C411" s="85"/>
      <c r="H411" s="29"/>
      <c r="M411" s="27"/>
    </row>
    <row r="412" spans="2:13" x14ac:dyDescent="0.2">
      <c r="B412" s="85"/>
      <c r="C412" s="85"/>
      <c r="H412" s="29"/>
      <c r="M412" s="27"/>
    </row>
    <row r="413" spans="2:13" x14ac:dyDescent="0.2">
      <c r="B413" s="85"/>
      <c r="C413" s="85"/>
      <c r="H413" s="29"/>
      <c r="M413" s="27"/>
    </row>
    <row r="414" spans="2:13" x14ac:dyDescent="0.2">
      <c r="B414" s="85"/>
      <c r="C414" s="85"/>
      <c r="H414" s="29"/>
      <c r="M414" s="27"/>
    </row>
    <row r="415" spans="2:13" x14ac:dyDescent="0.2">
      <c r="B415" s="85"/>
      <c r="C415" s="85"/>
      <c r="H415" s="29"/>
      <c r="M415" s="27"/>
    </row>
    <row r="416" spans="2:13" x14ac:dyDescent="0.2">
      <c r="B416" s="85"/>
      <c r="C416" s="85"/>
      <c r="H416" s="29"/>
      <c r="M416" s="27"/>
    </row>
    <row r="417" spans="2:13" x14ac:dyDescent="0.2">
      <c r="B417" s="85"/>
      <c r="C417" s="85"/>
      <c r="H417" s="29"/>
      <c r="M417" s="27"/>
    </row>
    <row r="418" spans="2:13" x14ac:dyDescent="0.2">
      <c r="B418" s="85"/>
      <c r="C418" s="85"/>
      <c r="H418" s="29"/>
      <c r="M418" s="27"/>
    </row>
    <row r="419" spans="2:13" x14ac:dyDescent="0.2">
      <c r="B419" s="85"/>
      <c r="C419" s="85"/>
      <c r="H419" s="29"/>
      <c r="M419" s="27"/>
    </row>
    <row r="420" spans="2:13" x14ac:dyDescent="0.2">
      <c r="B420" s="85"/>
      <c r="C420" s="85"/>
      <c r="H420" s="29"/>
      <c r="M420" s="27"/>
    </row>
    <row r="421" spans="2:13" x14ac:dyDescent="0.2">
      <c r="B421" s="85"/>
      <c r="C421" s="85"/>
      <c r="H421" s="29"/>
      <c r="M421" s="27"/>
    </row>
    <row r="422" spans="2:13" x14ac:dyDescent="0.2">
      <c r="B422" s="85"/>
      <c r="C422" s="85"/>
      <c r="H422" s="29"/>
      <c r="M422" s="27"/>
    </row>
    <row r="423" spans="2:13" x14ac:dyDescent="0.2">
      <c r="B423" s="85"/>
      <c r="C423" s="85"/>
      <c r="H423" s="29"/>
      <c r="M423" s="27"/>
    </row>
    <row r="424" spans="2:13" x14ac:dyDescent="0.2">
      <c r="B424" s="85"/>
      <c r="C424" s="85"/>
      <c r="H424" s="29"/>
      <c r="M424" s="27"/>
    </row>
    <row r="425" spans="2:13" x14ac:dyDescent="0.2">
      <c r="B425" s="85"/>
      <c r="C425" s="85"/>
      <c r="H425" s="29"/>
      <c r="M425" s="27"/>
    </row>
    <row r="426" spans="2:13" x14ac:dyDescent="0.2">
      <c r="B426" s="85"/>
      <c r="C426" s="85"/>
      <c r="H426" s="29"/>
      <c r="M426" s="27"/>
    </row>
    <row r="427" spans="2:13" x14ac:dyDescent="0.2">
      <c r="B427" s="85"/>
      <c r="C427" s="85"/>
      <c r="H427" s="29"/>
      <c r="M427" s="27"/>
    </row>
    <row r="428" spans="2:13" x14ac:dyDescent="0.2">
      <c r="B428" s="85"/>
      <c r="C428" s="85"/>
      <c r="H428" s="29"/>
      <c r="M428" s="27"/>
    </row>
    <row r="429" spans="2:13" x14ac:dyDescent="0.2">
      <c r="B429" s="85"/>
      <c r="C429" s="85"/>
      <c r="H429" s="29"/>
      <c r="M429" s="27"/>
    </row>
    <row r="430" spans="2:13" x14ac:dyDescent="0.2">
      <c r="B430" s="85"/>
      <c r="C430" s="85"/>
      <c r="H430" s="29"/>
      <c r="M430" s="27"/>
    </row>
    <row r="431" spans="2:13" x14ac:dyDescent="0.2">
      <c r="B431" s="85"/>
      <c r="C431" s="85"/>
      <c r="H431" s="29"/>
      <c r="M431" s="27"/>
    </row>
    <row r="432" spans="2:13" x14ac:dyDescent="0.2">
      <c r="B432" s="85"/>
      <c r="C432" s="85"/>
      <c r="H432" s="29"/>
      <c r="M432" s="27"/>
    </row>
    <row r="433" spans="2:13" x14ac:dyDescent="0.2">
      <c r="B433" s="85"/>
      <c r="C433" s="85"/>
      <c r="H433" s="29"/>
      <c r="M433" s="27"/>
    </row>
    <row r="434" spans="2:13" x14ac:dyDescent="0.2">
      <c r="B434" s="85"/>
      <c r="C434" s="85"/>
      <c r="H434" s="29"/>
      <c r="M434" s="27"/>
    </row>
    <row r="435" spans="2:13" x14ac:dyDescent="0.2">
      <c r="B435" s="85"/>
      <c r="C435" s="85"/>
      <c r="H435" s="29"/>
      <c r="M435" s="27"/>
    </row>
    <row r="436" spans="2:13" x14ac:dyDescent="0.2">
      <c r="B436" s="85"/>
      <c r="C436" s="85"/>
      <c r="H436" s="29"/>
      <c r="M436" s="27"/>
    </row>
    <row r="437" spans="2:13" x14ac:dyDescent="0.2">
      <c r="B437" s="85"/>
      <c r="C437" s="85"/>
      <c r="H437" s="29"/>
      <c r="M437" s="27"/>
    </row>
    <row r="438" spans="2:13" x14ac:dyDescent="0.2">
      <c r="B438" s="85"/>
      <c r="C438" s="85"/>
      <c r="H438" s="29"/>
      <c r="M438" s="27"/>
    </row>
    <row r="439" spans="2:13" x14ac:dyDescent="0.2">
      <c r="B439" s="85"/>
      <c r="C439" s="85"/>
      <c r="H439" s="29"/>
      <c r="M439" s="27"/>
    </row>
    <row r="440" spans="2:13" x14ac:dyDescent="0.2">
      <c r="B440" s="85"/>
      <c r="C440" s="85"/>
      <c r="H440" s="29"/>
      <c r="M440" s="27"/>
    </row>
    <row r="441" spans="2:13" x14ac:dyDescent="0.2">
      <c r="B441" s="85"/>
      <c r="C441" s="85"/>
      <c r="H441" s="29"/>
      <c r="M441" s="27"/>
    </row>
    <row r="442" spans="2:13" x14ac:dyDescent="0.2">
      <c r="B442" s="85"/>
      <c r="C442" s="85"/>
      <c r="H442" s="29"/>
      <c r="M442" s="27"/>
    </row>
    <row r="443" spans="2:13" x14ac:dyDescent="0.2">
      <c r="B443" s="85"/>
      <c r="C443" s="85"/>
      <c r="H443" s="29"/>
      <c r="M443" s="27"/>
    </row>
    <row r="444" spans="2:13" x14ac:dyDescent="0.2">
      <c r="B444" s="85"/>
      <c r="C444" s="85"/>
      <c r="H444" s="29"/>
      <c r="M444" s="27"/>
    </row>
    <row r="445" spans="2:13" x14ac:dyDescent="0.2">
      <c r="B445" s="85"/>
      <c r="C445" s="85"/>
      <c r="H445" s="29"/>
      <c r="M445" s="27"/>
    </row>
    <row r="446" spans="2:13" x14ac:dyDescent="0.2">
      <c r="B446" s="85"/>
      <c r="C446" s="85"/>
      <c r="H446" s="29"/>
      <c r="M446" s="27"/>
    </row>
    <row r="447" spans="2:13" x14ac:dyDescent="0.2">
      <c r="B447" s="85"/>
      <c r="C447" s="85"/>
      <c r="H447" s="29"/>
      <c r="M447" s="27"/>
    </row>
    <row r="448" spans="2:13" x14ac:dyDescent="0.2">
      <c r="B448" s="85"/>
      <c r="C448" s="85"/>
      <c r="H448" s="29"/>
      <c r="M448" s="27"/>
    </row>
    <row r="449" spans="2:13" x14ac:dyDescent="0.2">
      <c r="B449" s="85"/>
      <c r="C449" s="85"/>
      <c r="H449" s="29"/>
      <c r="M449" s="27"/>
    </row>
    <row r="450" spans="2:13" x14ac:dyDescent="0.2">
      <c r="B450" s="85"/>
      <c r="C450" s="85"/>
      <c r="H450" s="29"/>
      <c r="M450" s="27"/>
    </row>
    <row r="451" spans="2:13" x14ac:dyDescent="0.2">
      <c r="B451" s="85"/>
      <c r="C451" s="85"/>
      <c r="H451" s="29"/>
      <c r="M451" s="27"/>
    </row>
    <row r="452" spans="2:13" x14ac:dyDescent="0.2">
      <c r="B452" s="85"/>
      <c r="C452" s="85"/>
      <c r="H452" s="29"/>
      <c r="M452" s="27"/>
    </row>
    <row r="453" spans="2:13" x14ac:dyDescent="0.2">
      <c r="B453" s="85"/>
      <c r="C453" s="85"/>
      <c r="H453" s="29"/>
      <c r="M453" s="27"/>
    </row>
    <row r="454" spans="2:13" x14ac:dyDescent="0.2">
      <c r="B454" s="85"/>
      <c r="C454" s="85"/>
      <c r="H454" s="29"/>
      <c r="M454" s="27"/>
    </row>
    <row r="455" spans="2:13" x14ac:dyDescent="0.2">
      <c r="B455" s="85"/>
      <c r="C455" s="85"/>
      <c r="H455" s="29"/>
      <c r="M455" s="27"/>
    </row>
    <row r="456" spans="2:13" x14ac:dyDescent="0.2">
      <c r="B456" s="85"/>
      <c r="C456" s="85"/>
      <c r="H456" s="29"/>
      <c r="M456" s="27"/>
    </row>
    <row r="457" spans="2:13" x14ac:dyDescent="0.2">
      <c r="B457" s="85"/>
      <c r="C457" s="85"/>
      <c r="H457" s="29"/>
      <c r="M457" s="27"/>
    </row>
    <row r="458" spans="2:13" x14ac:dyDescent="0.2">
      <c r="B458" s="85"/>
      <c r="C458" s="85"/>
      <c r="H458" s="29"/>
      <c r="M458" s="27"/>
    </row>
    <row r="459" spans="2:13" x14ac:dyDescent="0.2">
      <c r="B459" s="85"/>
      <c r="C459" s="85"/>
      <c r="H459" s="29"/>
      <c r="M459" s="27"/>
    </row>
    <row r="460" spans="2:13" x14ac:dyDescent="0.2">
      <c r="B460" s="85"/>
      <c r="C460" s="85"/>
      <c r="H460" s="29"/>
      <c r="M460" s="27"/>
    </row>
    <row r="461" spans="2:13" x14ac:dyDescent="0.2">
      <c r="B461" s="85"/>
      <c r="C461" s="85"/>
      <c r="H461" s="29"/>
      <c r="M461" s="27"/>
    </row>
    <row r="462" spans="2:13" x14ac:dyDescent="0.2">
      <c r="B462" s="85"/>
      <c r="C462" s="85"/>
      <c r="H462" s="29"/>
      <c r="M462" s="27"/>
    </row>
    <row r="463" spans="2:13" x14ac:dyDescent="0.2">
      <c r="B463" s="85"/>
      <c r="C463" s="85"/>
      <c r="H463" s="29"/>
      <c r="M463" s="27"/>
    </row>
    <row r="464" spans="2:13" x14ac:dyDescent="0.2">
      <c r="B464" s="85"/>
      <c r="C464" s="85"/>
      <c r="H464" s="29"/>
      <c r="M464" s="27"/>
    </row>
    <row r="465" spans="2:13" x14ac:dyDescent="0.2">
      <c r="B465" s="85"/>
      <c r="C465" s="85"/>
      <c r="H465" s="29"/>
      <c r="M465" s="27"/>
    </row>
    <row r="466" spans="2:13" x14ac:dyDescent="0.2">
      <c r="B466" s="85"/>
      <c r="C466" s="85"/>
      <c r="H466" s="29"/>
      <c r="M466" s="27"/>
    </row>
    <row r="467" spans="2:13" x14ac:dyDescent="0.2">
      <c r="B467" s="85"/>
      <c r="C467" s="85"/>
      <c r="H467" s="29"/>
      <c r="M467" s="27"/>
    </row>
    <row r="468" spans="2:13" x14ac:dyDescent="0.2">
      <c r="B468" s="85"/>
      <c r="C468" s="85"/>
      <c r="H468" s="29"/>
      <c r="M468" s="27"/>
    </row>
    <row r="469" spans="2:13" x14ac:dyDescent="0.2">
      <c r="B469" s="85"/>
      <c r="C469" s="85"/>
      <c r="H469" s="29"/>
      <c r="M469" s="27"/>
    </row>
    <row r="470" spans="2:13" x14ac:dyDescent="0.2">
      <c r="B470" s="85"/>
      <c r="C470" s="85"/>
      <c r="H470" s="29"/>
      <c r="M470" s="27"/>
    </row>
    <row r="471" spans="2:13" x14ac:dyDescent="0.2">
      <c r="B471" s="85"/>
      <c r="C471" s="85"/>
      <c r="H471" s="29"/>
      <c r="M471" s="27"/>
    </row>
    <row r="472" spans="2:13" x14ac:dyDescent="0.2">
      <c r="B472" s="85"/>
      <c r="C472" s="85"/>
      <c r="H472" s="29"/>
      <c r="M472" s="27"/>
    </row>
    <row r="473" spans="2:13" x14ac:dyDescent="0.2">
      <c r="B473" s="85"/>
      <c r="C473" s="85"/>
      <c r="H473" s="29"/>
      <c r="M473" s="27"/>
    </row>
    <row r="474" spans="2:13" x14ac:dyDescent="0.2">
      <c r="B474" s="85"/>
      <c r="C474" s="85"/>
      <c r="H474" s="29"/>
      <c r="M474" s="27"/>
    </row>
    <row r="475" spans="2:13" x14ac:dyDescent="0.2">
      <c r="B475" s="85"/>
      <c r="C475" s="85"/>
      <c r="H475" s="29"/>
      <c r="M475" s="27"/>
    </row>
    <row r="476" spans="2:13" x14ac:dyDescent="0.2">
      <c r="B476" s="85"/>
      <c r="C476" s="85"/>
      <c r="H476" s="29"/>
      <c r="M476" s="27"/>
    </row>
    <row r="477" spans="2:13" x14ac:dyDescent="0.2">
      <c r="B477" s="85"/>
      <c r="C477" s="85"/>
      <c r="H477" s="29"/>
      <c r="M477" s="27"/>
    </row>
    <row r="478" spans="2:13" x14ac:dyDescent="0.2">
      <c r="B478" s="85"/>
      <c r="C478" s="85"/>
      <c r="H478" s="29"/>
      <c r="M478" s="27"/>
    </row>
    <row r="479" spans="2:13" x14ac:dyDescent="0.2">
      <c r="B479" s="85"/>
      <c r="C479" s="85"/>
      <c r="H479" s="29"/>
      <c r="M479" s="27"/>
    </row>
    <row r="480" spans="2:13" x14ac:dyDescent="0.2">
      <c r="B480" s="85"/>
      <c r="C480" s="85"/>
      <c r="H480" s="29"/>
      <c r="M480" s="27"/>
    </row>
    <row r="481" spans="2:13" x14ac:dyDescent="0.2">
      <c r="B481" s="85"/>
      <c r="C481" s="85"/>
      <c r="H481" s="29"/>
      <c r="M481" s="27"/>
    </row>
    <row r="482" spans="2:13" x14ac:dyDescent="0.2">
      <c r="B482" s="85"/>
      <c r="C482" s="85"/>
      <c r="H482" s="29"/>
      <c r="M482" s="27"/>
    </row>
    <row r="483" spans="2:13" x14ac:dyDescent="0.2">
      <c r="B483" s="85"/>
      <c r="C483" s="85"/>
      <c r="H483" s="29"/>
      <c r="M483" s="27"/>
    </row>
    <row r="484" spans="2:13" x14ac:dyDescent="0.2">
      <c r="B484" s="85"/>
      <c r="C484" s="85"/>
      <c r="H484" s="29"/>
      <c r="M484" s="27"/>
    </row>
    <row r="485" spans="2:13" x14ac:dyDescent="0.2">
      <c r="B485" s="85"/>
      <c r="C485" s="85"/>
      <c r="H485" s="29"/>
      <c r="M485" s="27"/>
    </row>
    <row r="486" spans="2:13" x14ac:dyDescent="0.2">
      <c r="B486" s="85"/>
      <c r="C486" s="85"/>
      <c r="H486" s="29"/>
      <c r="M486" s="27"/>
    </row>
    <row r="487" spans="2:13" x14ac:dyDescent="0.2">
      <c r="B487" s="85"/>
      <c r="C487" s="85"/>
      <c r="H487" s="29"/>
      <c r="M487" s="27"/>
    </row>
    <row r="488" spans="2:13" x14ac:dyDescent="0.2">
      <c r="B488" s="85"/>
      <c r="C488" s="85"/>
      <c r="H488" s="29"/>
      <c r="M488" s="27"/>
    </row>
    <row r="489" spans="2:13" x14ac:dyDescent="0.2">
      <c r="B489" s="85"/>
      <c r="C489" s="85"/>
      <c r="H489" s="29"/>
      <c r="M489" s="27"/>
    </row>
    <row r="490" spans="2:13" x14ac:dyDescent="0.2">
      <c r="B490" s="85"/>
      <c r="C490" s="85"/>
      <c r="H490" s="29"/>
      <c r="M490" s="27"/>
    </row>
    <row r="491" spans="2:13" x14ac:dyDescent="0.2">
      <c r="B491" s="85"/>
      <c r="C491" s="85"/>
      <c r="H491" s="29"/>
      <c r="M491" s="27"/>
    </row>
    <row r="492" spans="2:13" x14ac:dyDescent="0.2">
      <c r="B492" s="85"/>
      <c r="C492" s="85"/>
      <c r="H492" s="29"/>
      <c r="M492" s="27"/>
    </row>
    <row r="493" spans="2:13" x14ac:dyDescent="0.2">
      <c r="B493" s="85"/>
      <c r="C493" s="85"/>
      <c r="H493" s="29"/>
      <c r="M493" s="27"/>
    </row>
    <row r="494" spans="2:13" x14ac:dyDescent="0.2">
      <c r="B494" s="85"/>
      <c r="C494" s="85"/>
      <c r="H494" s="29"/>
      <c r="M494" s="27"/>
    </row>
    <row r="495" spans="2:13" x14ac:dyDescent="0.2">
      <c r="B495" s="85"/>
      <c r="C495" s="85"/>
      <c r="H495" s="29"/>
      <c r="M495" s="27"/>
    </row>
    <row r="496" spans="2:13" x14ac:dyDescent="0.2">
      <c r="B496" s="85"/>
      <c r="C496" s="85"/>
      <c r="H496" s="29"/>
      <c r="M496" s="27"/>
    </row>
    <row r="497" spans="2:13" x14ac:dyDescent="0.2">
      <c r="B497" s="85"/>
      <c r="C497" s="85"/>
      <c r="H497" s="29"/>
      <c r="M497" s="27"/>
    </row>
    <row r="498" spans="2:13" x14ac:dyDescent="0.2">
      <c r="B498" s="85"/>
      <c r="C498" s="85"/>
      <c r="H498" s="29"/>
      <c r="M498" s="27"/>
    </row>
    <row r="499" spans="2:13" x14ac:dyDescent="0.2">
      <c r="B499" s="85"/>
      <c r="C499" s="85"/>
      <c r="H499" s="29"/>
      <c r="M499" s="27"/>
    </row>
    <row r="500" spans="2:13" x14ac:dyDescent="0.2">
      <c r="B500" s="85"/>
      <c r="C500" s="85"/>
      <c r="H500" s="29"/>
      <c r="M500" s="27"/>
    </row>
    <row r="501" spans="2:13" x14ac:dyDescent="0.2">
      <c r="B501" s="85"/>
      <c r="C501" s="85"/>
      <c r="H501" s="29"/>
      <c r="M501" s="27"/>
    </row>
    <row r="502" spans="2:13" x14ac:dyDescent="0.2">
      <c r="B502" s="85"/>
      <c r="C502" s="85"/>
      <c r="H502" s="29"/>
      <c r="M502" s="27"/>
    </row>
    <row r="503" spans="2:13" x14ac:dyDescent="0.2">
      <c r="B503" s="85"/>
      <c r="C503" s="85"/>
      <c r="H503" s="29"/>
      <c r="M503" s="27"/>
    </row>
    <row r="504" spans="2:13" x14ac:dyDescent="0.2">
      <c r="B504" s="85"/>
      <c r="C504" s="85"/>
      <c r="H504" s="29"/>
      <c r="M504" s="27"/>
    </row>
    <row r="505" spans="2:13" x14ac:dyDescent="0.2">
      <c r="B505" s="85"/>
      <c r="C505" s="85"/>
      <c r="H505" s="29"/>
      <c r="M505" s="27"/>
    </row>
    <row r="506" spans="2:13" x14ac:dyDescent="0.2">
      <c r="B506" s="85"/>
      <c r="C506" s="85"/>
      <c r="H506" s="29"/>
      <c r="M506" s="27"/>
    </row>
    <row r="507" spans="2:13" x14ac:dyDescent="0.2">
      <c r="B507" s="85"/>
      <c r="C507" s="85"/>
      <c r="H507" s="29"/>
      <c r="M507" s="27"/>
    </row>
    <row r="508" spans="2:13" x14ac:dyDescent="0.2">
      <c r="B508" s="85"/>
      <c r="C508" s="85"/>
      <c r="H508" s="29"/>
      <c r="M508" s="27"/>
    </row>
    <row r="509" spans="2:13" x14ac:dyDescent="0.2">
      <c r="B509" s="85"/>
      <c r="C509" s="85"/>
      <c r="H509" s="29"/>
      <c r="M509" s="27"/>
    </row>
    <row r="510" spans="2:13" x14ac:dyDescent="0.2">
      <c r="B510" s="85"/>
      <c r="C510" s="85"/>
      <c r="H510" s="29"/>
      <c r="M510" s="27"/>
    </row>
    <row r="511" spans="2:13" x14ac:dyDescent="0.2">
      <c r="B511" s="85"/>
      <c r="C511" s="85"/>
      <c r="H511" s="29"/>
      <c r="M511" s="27"/>
    </row>
    <row r="512" spans="2:13" x14ac:dyDescent="0.2">
      <c r="B512" s="85"/>
      <c r="C512" s="85"/>
      <c r="H512" s="29"/>
      <c r="M512" s="27"/>
    </row>
    <row r="513" spans="2:13" x14ac:dyDescent="0.2">
      <c r="B513" s="85"/>
      <c r="C513" s="85"/>
      <c r="H513" s="29"/>
      <c r="M513" s="27"/>
    </row>
    <row r="514" spans="2:13" x14ac:dyDescent="0.2">
      <c r="B514" s="85"/>
      <c r="C514" s="85"/>
      <c r="H514" s="29"/>
      <c r="M514" s="27"/>
    </row>
    <row r="515" spans="2:13" x14ac:dyDescent="0.2">
      <c r="B515" s="85"/>
      <c r="C515" s="85"/>
      <c r="H515" s="29"/>
      <c r="M515" s="27"/>
    </row>
    <row r="516" spans="2:13" x14ac:dyDescent="0.2">
      <c r="B516" s="85"/>
      <c r="C516" s="85"/>
      <c r="H516" s="29"/>
      <c r="M516" s="27"/>
    </row>
    <row r="517" spans="2:13" x14ac:dyDescent="0.2">
      <c r="B517" s="85"/>
      <c r="C517" s="85"/>
      <c r="H517" s="29"/>
      <c r="M517" s="27"/>
    </row>
    <row r="518" spans="2:13" x14ac:dyDescent="0.2">
      <c r="B518" s="85"/>
      <c r="C518" s="85"/>
      <c r="H518" s="29"/>
      <c r="M518" s="27"/>
    </row>
    <row r="519" spans="2:13" x14ac:dyDescent="0.2">
      <c r="B519" s="85"/>
      <c r="C519" s="85"/>
      <c r="H519" s="29"/>
      <c r="M519" s="27"/>
    </row>
    <row r="520" spans="2:13" x14ac:dyDescent="0.2">
      <c r="B520" s="85"/>
      <c r="C520" s="85"/>
      <c r="H520" s="29"/>
      <c r="M520" s="27"/>
    </row>
    <row r="521" spans="2:13" x14ac:dyDescent="0.2">
      <c r="B521" s="85"/>
      <c r="C521" s="85"/>
      <c r="H521" s="29"/>
      <c r="M521" s="27"/>
    </row>
    <row r="522" spans="2:13" x14ac:dyDescent="0.2">
      <c r="B522" s="85"/>
      <c r="C522" s="85"/>
      <c r="H522" s="29"/>
      <c r="M522" s="27"/>
    </row>
    <row r="523" spans="2:13" x14ac:dyDescent="0.2">
      <c r="B523" s="85"/>
      <c r="C523" s="85"/>
      <c r="H523" s="29"/>
      <c r="M523" s="27"/>
    </row>
    <row r="524" spans="2:13" x14ac:dyDescent="0.2">
      <c r="B524" s="85"/>
      <c r="C524" s="85"/>
      <c r="H524" s="29"/>
      <c r="M524" s="27"/>
    </row>
    <row r="525" spans="2:13" x14ac:dyDescent="0.2">
      <c r="B525" s="85"/>
      <c r="C525" s="85"/>
      <c r="H525" s="29"/>
      <c r="M525" s="27"/>
    </row>
    <row r="526" spans="2:13" x14ac:dyDescent="0.2">
      <c r="B526" s="85"/>
      <c r="C526" s="85"/>
      <c r="H526" s="29"/>
      <c r="M526" s="27"/>
    </row>
    <row r="527" spans="2:13" x14ac:dyDescent="0.2">
      <c r="B527" s="85"/>
      <c r="C527" s="85"/>
      <c r="H527" s="29"/>
      <c r="M527" s="27"/>
    </row>
    <row r="528" spans="2:13" x14ac:dyDescent="0.2">
      <c r="B528" s="85"/>
      <c r="C528" s="85"/>
      <c r="H528" s="29"/>
      <c r="M528" s="27"/>
    </row>
    <row r="529" spans="2:13" x14ac:dyDescent="0.2">
      <c r="B529" s="85"/>
      <c r="C529" s="85"/>
      <c r="H529" s="29"/>
      <c r="M529" s="27"/>
    </row>
    <row r="530" spans="2:13" x14ac:dyDescent="0.2">
      <c r="B530" s="85"/>
      <c r="C530" s="85"/>
      <c r="H530" s="29"/>
      <c r="M530" s="27"/>
    </row>
    <row r="531" spans="2:13" x14ac:dyDescent="0.2">
      <c r="B531" s="85"/>
      <c r="C531" s="85"/>
      <c r="H531" s="29"/>
      <c r="M531" s="27"/>
    </row>
    <row r="532" spans="2:13" x14ac:dyDescent="0.2">
      <c r="B532" s="85"/>
      <c r="C532" s="85"/>
      <c r="H532" s="29"/>
      <c r="M532" s="27"/>
    </row>
    <row r="533" spans="2:13" x14ac:dyDescent="0.2">
      <c r="B533" s="85"/>
      <c r="C533" s="85"/>
      <c r="H533" s="29"/>
      <c r="M533" s="27"/>
    </row>
    <row r="534" spans="2:13" x14ac:dyDescent="0.2">
      <c r="B534" s="85"/>
      <c r="C534" s="85"/>
      <c r="H534" s="29"/>
      <c r="M534" s="27"/>
    </row>
    <row r="535" spans="2:13" x14ac:dyDescent="0.2">
      <c r="B535" s="85"/>
      <c r="C535" s="85"/>
      <c r="H535" s="29"/>
      <c r="M535" s="27"/>
    </row>
    <row r="536" spans="2:13" x14ac:dyDescent="0.2">
      <c r="B536" s="85"/>
      <c r="C536" s="85"/>
      <c r="H536" s="29"/>
      <c r="M536" s="27"/>
    </row>
    <row r="537" spans="2:13" x14ac:dyDescent="0.2">
      <c r="B537" s="85"/>
      <c r="C537" s="85"/>
      <c r="H537" s="29"/>
      <c r="M537" s="27"/>
    </row>
    <row r="538" spans="2:13" x14ac:dyDescent="0.2">
      <c r="B538" s="85"/>
      <c r="C538" s="85"/>
      <c r="H538" s="29"/>
      <c r="M538" s="27"/>
    </row>
    <row r="539" spans="2:13" x14ac:dyDescent="0.2">
      <c r="B539" s="85"/>
      <c r="C539" s="85"/>
      <c r="H539" s="29"/>
      <c r="M539" s="27"/>
    </row>
    <row r="540" spans="2:13" x14ac:dyDescent="0.2">
      <c r="B540" s="85"/>
      <c r="C540" s="85"/>
      <c r="H540" s="29"/>
      <c r="M540" s="27"/>
    </row>
    <row r="541" spans="2:13" x14ac:dyDescent="0.2">
      <c r="B541" s="85"/>
      <c r="C541" s="85"/>
      <c r="H541" s="29"/>
      <c r="M541" s="27"/>
    </row>
    <row r="542" spans="2:13" x14ac:dyDescent="0.2">
      <c r="B542" s="85"/>
      <c r="C542" s="85"/>
      <c r="H542" s="29"/>
      <c r="M542" s="27"/>
    </row>
    <row r="543" spans="2:13" x14ac:dyDescent="0.2">
      <c r="B543" s="85"/>
      <c r="C543" s="85"/>
      <c r="H543" s="29"/>
      <c r="M543" s="27"/>
    </row>
    <row r="544" spans="2:13" x14ac:dyDescent="0.2">
      <c r="B544" s="85"/>
      <c r="C544" s="85"/>
      <c r="H544" s="29"/>
      <c r="M544" s="27"/>
    </row>
    <row r="545" spans="2:13" x14ac:dyDescent="0.2">
      <c r="B545" s="85"/>
      <c r="C545" s="85"/>
      <c r="H545" s="29"/>
      <c r="M545" s="27"/>
    </row>
    <row r="546" spans="2:13" x14ac:dyDescent="0.2">
      <c r="B546" s="85"/>
      <c r="C546" s="85"/>
      <c r="H546" s="29"/>
      <c r="M546" s="27"/>
    </row>
    <row r="547" spans="2:13" x14ac:dyDescent="0.2">
      <c r="B547" s="85"/>
      <c r="C547" s="85"/>
      <c r="H547" s="29"/>
      <c r="M547" s="27"/>
    </row>
    <row r="548" spans="2:13" x14ac:dyDescent="0.2">
      <c r="B548" s="85"/>
      <c r="C548" s="85"/>
      <c r="H548" s="29"/>
      <c r="M548" s="27"/>
    </row>
    <row r="549" spans="2:13" x14ac:dyDescent="0.2">
      <c r="B549" s="85"/>
      <c r="C549" s="85"/>
      <c r="H549" s="29"/>
      <c r="M549" s="27"/>
    </row>
    <row r="550" spans="2:13" x14ac:dyDescent="0.2">
      <c r="B550" s="85"/>
      <c r="C550" s="85"/>
      <c r="H550" s="29"/>
      <c r="M550" s="27"/>
    </row>
    <row r="551" spans="2:13" x14ac:dyDescent="0.2">
      <c r="B551" s="85"/>
      <c r="C551" s="85"/>
      <c r="H551" s="29"/>
      <c r="M551" s="27"/>
    </row>
    <row r="552" spans="2:13" x14ac:dyDescent="0.2">
      <c r="B552" s="85"/>
      <c r="C552" s="85"/>
      <c r="H552" s="29"/>
      <c r="M552" s="27"/>
    </row>
    <row r="553" spans="2:13" x14ac:dyDescent="0.2">
      <c r="B553" s="85"/>
      <c r="C553" s="85"/>
      <c r="H553" s="29"/>
      <c r="M553" s="27"/>
    </row>
    <row r="554" spans="2:13" x14ac:dyDescent="0.2">
      <c r="B554" s="85"/>
      <c r="C554" s="85"/>
      <c r="H554" s="29"/>
      <c r="M554" s="27"/>
    </row>
    <row r="555" spans="2:13" x14ac:dyDescent="0.2">
      <c r="B555" s="85"/>
      <c r="C555" s="85"/>
      <c r="H555" s="29"/>
      <c r="M555" s="27"/>
    </row>
    <row r="556" spans="2:13" x14ac:dyDescent="0.2">
      <c r="B556" s="85"/>
      <c r="C556" s="85"/>
      <c r="H556" s="29"/>
      <c r="M556" s="27"/>
    </row>
    <row r="557" spans="2:13" x14ac:dyDescent="0.2">
      <c r="B557" s="85"/>
      <c r="C557" s="85"/>
      <c r="H557" s="29"/>
      <c r="M557" s="27"/>
    </row>
    <row r="558" spans="2:13" x14ac:dyDescent="0.2">
      <c r="B558" s="85"/>
      <c r="C558" s="85"/>
      <c r="H558" s="29"/>
      <c r="M558" s="27"/>
    </row>
    <row r="559" spans="2:13" x14ac:dyDescent="0.2">
      <c r="B559" s="85"/>
      <c r="C559" s="85"/>
      <c r="H559" s="29"/>
      <c r="M559" s="27"/>
    </row>
    <row r="560" spans="2:13" x14ac:dyDescent="0.2">
      <c r="B560" s="85"/>
      <c r="C560" s="85"/>
      <c r="H560" s="29"/>
      <c r="M560" s="27"/>
    </row>
    <row r="561" spans="2:13" x14ac:dyDescent="0.2">
      <c r="B561" s="85"/>
      <c r="C561" s="85"/>
      <c r="H561" s="29"/>
      <c r="M561" s="27"/>
    </row>
    <row r="562" spans="2:13" x14ac:dyDescent="0.2">
      <c r="B562" s="85"/>
      <c r="C562" s="85"/>
      <c r="H562" s="29"/>
      <c r="M562" s="27"/>
    </row>
    <row r="563" spans="2:13" x14ac:dyDescent="0.2">
      <c r="B563" s="85"/>
      <c r="C563" s="85"/>
      <c r="H563" s="29"/>
      <c r="M563" s="27"/>
    </row>
    <row r="564" spans="2:13" x14ac:dyDescent="0.2">
      <c r="B564" s="85"/>
      <c r="C564" s="85"/>
      <c r="H564" s="29"/>
      <c r="M564" s="27"/>
    </row>
    <row r="565" spans="2:13" x14ac:dyDescent="0.2">
      <c r="B565" s="85"/>
      <c r="C565" s="85"/>
      <c r="H565" s="29"/>
      <c r="M565" s="27"/>
    </row>
    <row r="566" spans="2:13" x14ac:dyDescent="0.2">
      <c r="B566" s="85"/>
      <c r="C566" s="85"/>
      <c r="H566" s="29"/>
      <c r="M566" s="27"/>
    </row>
    <row r="567" spans="2:13" x14ac:dyDescent="0.2">
      <c r="B567" s="85"/>
      <c r="C567" s="85"/>
      <c r="H567" s="29"/>
      <c r="M567" s="27"/>
    </row>
    <row r="568" spans="2:13" x14ac:dyDescent="0.2">
      <c r="B568" s="85"/>
      <c r="C568" s="85"/>
      <c r="H568" s="29"/>
      <c r="M568" s="27"/>
    </row>
    <row r="569" spans="2:13" x14ac:dyDescent="0.2">
      <c r="B569" s="85"/>
      <c r="C569" s="85"/>
      <c r="H569" s="29"/>
      <c r="M569" s="27"/>
    </row>
    <row r="570" spans="2:13" x14ac:dyDescent="0.2">
      <c r="B570" s="85"/>
      <c r="C570" s="85"/>
      <c r="H570" s="29"/>
      <c r="M570" s="27"/>
    </row>
    <row r="571" spans="2:13" x14ac:dyDescent="0.2">
      <c r="B571" s="85"/>
      <c r="C571" s="85"/>
      <c r="H571" s="29"/>
      <c r="M571" s="27"/>
    </row>
    <row r="572" spans="2:13" x14ac:dyDescent="0.2">
      <c r="B572" s="85"/>
      <c r="C572" s="85"/>
      <c r="H572" s="29"/>
      <c r="M572" s="27"/>
    </row>
    <row r="573" spans="2:13" x14ac:dyDescent="0.2">
      <c r="B573" s="85"/>
      <c r="C573" s="85"/>
      <c r="H573" s="29"/>
      <c r="M573" s="27"/>
    </row>
    <row r="574" spans="2:13" x14ac:dyDescent="0.2">
      <c r="B574" s="85"/>
      <c r="C574" s="85"/>
      <c r="H574" s="29"/>
      <c r="M574" s="27"/>
    </row>
    <row r="575" spans="2:13" x14ac:dyDescent="0.2">
      <c r="B575" s="85"/>
      <c r="C575" s="85"/>
      <c r="H575" s="29"/>
      <c r="M575" s="27"/>
    </row>
    <row r="576" spans="2:13" x14ac:dyDescent="0.2">
      <c r="B576" s="85"/>
      <c r="C576" s="85"/>
      <c r="H576" s="29"/>
      <c r="M576" s="27"/>
    </row>
    <row r="577" spans="2:13" x14ac:dyDescent="0.2">
      <c r="B577" s="85"/>
      <c r="C577" s="85"/>
      <c r="H577" s="29"/>
      <c r="M577" s="27"/>
    </row>
    <row r="578" spans="2:13" x14ac:dyDescent="0.2">
      <c r="B578" s="85"/>
      <c r="C578" s="85"/>
      <c r="H578" s="29"/>
      <c r="M578" s="27"/>
    </row>
    <row r="579" spans="2:13" x14ac:dyDescent="0.2">
      <c r="B579" s="85"/>
      <c r="C579" s="85"/>
      <c r="H579" s="29"/>
      <c r="M579" s="27"/>
    </row>
    <row r="580" spans="2:13" x14ac:dyDescent="0.2">
      <c r="B580" s="85"/>
      <c r="C580" s="85"/>
      <c r="H580" s="29"/>
      <c r="M580" s="27"/>
    </row>
    <row r="581" spans="2:13" x14ac:dyDescent="0.2">
      <c r="B581" s="85"/>
      <c r="C581" s="85"/>
      <c r="H581" s="29"/>
      <c r="M581" s="27"/>
    </row>
    <row r="582" spans="2:13" x14ac:dyDescent="0.2">
      <c r="B582" s="85"/>
      <c r="C582" s="85"/>
      <c r="H582" s="29"/>
      <c r="M582" s="27"/>
    </row>
    <row r="583" spans="2:13" x14ac:dyDescent="0.2">
      <c r="B583" s="85"/>
      <c r="C583" s="85"/>
      <c r="H583" s="29"/>
      <c r="M583" s="27"/>
    </row>
    <row r="584" spans="2:13" x14ac:dyDescent="0.2">
      <c r="B584" s="85"/>
      <c r="C584" s="85"/>
      <c r="H584" s="29"/>
      <c r="M584" s="27"/>
    </row>
    <row r="585" spans="2:13" x14ac:dyDescent="0.2">
      <c r="B585" s="85"/>
      <c r="C585" s="85"/>
      <c r="H585" s="29"/>
      <c r="M585" s="27"/>
    </row>
    <row r="586" spans="2:13" x14ac:dyDescent="0.2">
      <c r="B586" s="85"/>
      <c r="C586" s="85"/>
      <c r="H586" s="29"/>
      <c r="M586" s="27"/>
    </row>
    <row r="587" spans="2:13" x14ac:dyDescent="0.2">
      <c r="B587" s="85"/>
      <c r="C587" s="85"/>
      <c r="H587" s="29"/>
      <c r="M587" s="27"/>
    </row>
    <row r="588" spans="2:13" x14ac:dyDescent="0.2">
      <c r="B588" s="85"/>
      <c r="C588" s="85"/>
      <c r="H588" s="29"/>
      <c r="M588" s="27"/>
    </row>
    <row r="589" spans="2:13" x14ac:dyDescent="0.2">
      <c r="B589" s="85"/>
      <c r="C589" s="85"/>
      <c r="H589" s="29"/>
      <c r="M589" s="27"/>
    </row>
    <row r="590" spans="2:13" x14ac:dyDescent="0.2">
      <c r="B590" s="85"/>
      <c r="C590" s="85"/>
      <c r="H590" s="29"/>
      <c r="M590" s="27"/>
    </row>
    <row r="591" spans="2:13" x14ac:dyDescent="0.2">
      <c r="B591" s="85"/>
      <c r="C591" s="85"/>
      <c r="H591" s="29"/>
      <c r="M591" s="27"/>
    </row>
    <row r="592" spans="2:13" x14ac:dyDescent="0.2">
      <c r="B592" s="85"/>
      <c r="C592" s="85"/>
      <c r="H592" s="29"/>
      <c r="M592" s="27"/>
    </row>
    <row r="593" spans="2:13" x14ac:dyDescent="0.2">
      <c r="B593" s="85"/>
      <c r="C593" s="85"/>
      <c r="H593" s="29"/>
      <c r="M593" s="27"/>
    </row>
    <row r="594" spans="2:13" x14ac:dyDescent="0.2">
      <c r="B594" s="85"/>
      <c r="C594" s="85"/>
      <c r="H594" s="29"/>
      <c r="M594" s="27"/>
    </row>
    <row r="595" spans="2:13" x14ac:dyDescent="0.2">
      <c r="B595" s="85"/>
      <c r="C595" s="85"/>
      <c r="H595" s="29"/>
      <c r="M595" s="27"/>
    </row>
    <row r="596" spans="2:13" x14ac:dyDescent="0.2">
      <c r="B596" s="85"/>
      <c r="C596" s="85"/>
      <c r="H596" s="29"/>
      <c r="M596" s="27"/>
    </row>
    <row r="597" spans="2:13" x14ac:dyDescent="0.2">
      <c r="B597" s="85"/>
      <c r="C597" s="85"/>
      <c r="H597" s="29"/>
      <c r="M597" s="27"/>
    </row>
    <row r="598" spans="2:13" x14ac:dyDescent="0.2">
      <c r="B598" s="85"/>
      <c r="C598" s="85"/>
      <c r="H598" s="29"/>
      <c r="M598" s="27"/>
    </row>
    <row r="599" spans="2:13" x14ac:dyDescent="0.2">
      <c r="B599" s="85"/>
      <c r="C599" s="85"/>
      <c r="H599" s="29"/>
      <c r="M599" s="27"/>
    </row>
    <row r="600" spans="2:13" x14ac:dyDescent="0.2">
      <c r="B600" s="85"/>
      <c r="C600" s="85"/>
      <c r="H600" s="29"/>
      <c r="M600" s="27"/>
    </row>
    <row r="601" spans="2:13" x14ac:dyDescent="0.2">
      <c r="B601" s="85"/>
      <c r="C601" s="85"/>
      <c r="H601" s="29"/>
      <c r="M601" s="27"/>
    </row>
    <row r="602" spans="2:13" x14ac:dyDescent="0.2">
      <c r="B602" s="85"/>
      <c r="C602" s="85"/>
      <c r="H602" s="29"/>
      <c r="M602" s="27"/>
    </row>
    <row r="603" spans="2:13" x14ac:dyDescent="0.2">
      <c r="B603" s="85"/>
      <c r="C603" s="85"/>
      <c r="H603" s="29"/>
      <c r="M603" s="27"/>
    </row>
    <row r="604" spans="2:13" x14ac:dyDescent="0.2">
      <c r="B604" s="85"/>
      <c r="C604" s="85"/>
      <c r="H604" s="29"/>
      <c r="M604" s="27"/>
    </row>
    <row r="605" spans="2:13" x14ac:dyDescent="0.2">
      <c r="B605" s="85"/>
      <c r="C605" s="85"/>
      <c r="H605" s="29"/>
      <c r="M605" s="27"/>
    </row>
    <row r="606" spans="2:13" x14ac:dyDescent="0.2">
      <c r="B606" s="85"/>
      <c r="C606" s="85"/>
      <c r="H606" s="29"/>
      <c r="M606" s="27"/>
    </row>
    <row r="607" spans="2:13" x14ac:dyDescent="0.2">
      <c r="B607" s="85"/>
      <c r="C607" s="85"/>
      <c r="H607" s="29"/>
      <c r="M607" s="27"/>
    </row>
    <row r="608" spans="2:13" x14ac:dyDescent="0.2">
      <c r="B608" s="85"/>
      <c r="C608" s="85"/>
      <c r="H608" s="29"/>
      <c r="M608" s="27"/>
    </row>
    <row r="609" spans="2:13" x14ac:dyDescent="0.2">
      <c r="B609" s="85"/>
      <c r="C609" s="85"/>
      <c r="H609" s="29"/>
      <c r="M609" s="27"/>
    </row>
    <row r="610" spans="2:13" x14ac:dyDescent="0.2">
      <c r="B610" s="85"/>
      <c r="C610" s="85"/>
      <c r="H610" s="29"/>
      <c r="M610" s="27"/>
    </row>
    <row r="611" spans="2:13" x14ac:dyDescent="0.2">
      <c r="B611" s="85"/>
      <c r="C611" s="85"/>
      <c r="H611" s="29"/>
      <c r="M611" s="27"/>
    </row>
    <row r="612" spans="2:13" x14ac:dyDescent="0.2">
      <c r="B612" s="85"/>
      <c r="C612" s="85"/>
      <c r="H612" s="29"/>
      <c r="M612" s="27"/>
    </row>
    <row r="613" spans="2:13" x14ac:dyDescent="0.2">
      <c r="B613" s="85"/>
      <c r="C613" s="85"/>
      <c r="H613" s="29"/>
      <c r="M613" s="27"/>
    </row>
    <row r="614" spans="2:13" x14ac:dyDescent="0.2">
      <c r="B614" s="85"/>
      <c r="C614" s="85"/>
      <c r="H614" s="29"/>
      <c r="M614" s="27"/>
    </row>
    <row r="615" spans="2:13" x14ac:dyDescent="0.2">
      <c r="B615" s="85"/>
      <c r="C615" s="85"/>
      <c r="H615" s="29"/>
      <c r="M615" s="27"/>
    </row>
    <row r="616" spans="2:13" x14ac:dyDescent="0.2">
      <c r="B616" s="85"/>
      <c r="C616" s="85"/>
      <c r="H616" s="29"/>
      <c r="M616" s="27"/>
    </row>
    <row r="617" spans="2:13" x14ac:dyDescent="0.2">
      <c r="B617" s="85"/>
      <c r="C617" s="85"/>
      <c r="H617" s="29"/>
      <c r="M617" s="27"/>
    </row>
    <row r="618" spans="2:13" x14ac:dyDescent="0.2">
      <c r="B618" s="85"/>
      <c r="C618" s="85"/>
      <c r="H618" s="29"/>
      <c r="M618" s="27"/>
    </row>
    <row r="619" spans="2:13" x14ac:dyDescent="0.2">
      <c r="B619" s="85"/>
      <c r="C619" s="85"/>
      <c r="H619" s="29"/>
      <c r="M619" s="27"/>
    </row>
    <row r="620" spans="2:13" x14ac:dyDescent="0.2">
      <c r="B620" s="85"/>
      <c r="C620" s="85"/>
      <c r="H620" s="29"/>
      <c r="M620" s="27"/>
    </row>
    <row r="621" spans="2:13" x14ac:dyDescent="0.2">
      <c r="B621" s="85"/>
      <c r="C621" s="85"/>
      <c r="H621" s="29"/>
      <c r="M621" s="27"/>
    </row>
    <row r="622" spans="2:13" x14ac:dyDescent="0.2">
      <c r="B622" s="85"/>
      <c r="C622" s="85"/>
      <c r="H622" s="29"/>
      <c r="M622" s="27"/>
    </row>
    <row r="623" spans="2:13" x14ac:dyDescent="0.2">
      <c r="B623" s="85"/>
      <c r="C623" s="85"/>
      <c r="H623" s="29"/>
      <c r="M623" s="27"/>
    </row>
    <row r="624" spans="2:13" x14ac:dyDescent="0.2">
      <c r="B624" s="85"/>
      <c r="C624" s="85"/>
      <c r="H624" s="29"/>
      <c r="M624" s="27"/>
    </row>
    <row r="625" spans="2:13" x14ac:dyDescent="0.2">
      <c r="B625" s="85"/>
      <c r="C625" s="85"/>
      <c r="H625" s="29"/>
      <c r="M625" s="27"/>
    </row>
    <row r="626" spans="2:13" x14ac:dyDescent="0.2">
      <c r="B626" s="85"/>
      <c r="C626" s="85"/>
      <c r="H626" s="29"/>
      <c r="M626" s="27"/>
    </row>
    <row r="627" spans="2:13" x14ac:dyDescent="0.2">
      <c r="B627" s="85"/>
      <c r="C627" s="85"/>
      <c r="H627" s="29"/>
      <c r="M627" s="27"/>
    </row>
    <row r="628" spans="2:13" x14ac:dyDescent="0.2">
      <c r="B628" s="85"/>
      <c r="C628" s="85"/>
      <c r="H628" s="29"/>
      <c r="M628" s="27"/>
    </row>
    <row r="629" spans="2:13" x14ac:dyDescent="0.2">
      <c r="B629" s="85"/>
      <c r="C629" s="85"/>
      <c r="H629" s="29"/>
      <c r="M629" s="27"/>
    </row>
    <row r="630" spans="2:13" x14ac:dyDescent="0.2">
      <c r="B630" s="85"/>
      <c r="C630" s="85"/>
      <c r="H630" s="29"/>
      <c r="M630" s="27"/>
    </row>
    <row r="631" spans="2:13" x14ac:dyDescent="0.2">
      <c r="B631" s="85"/>
      <c r="C631" s="85"/>
      <c r="H631" s="29"/>
      <c r="M631" s="27"/>
    </row>
    <row r="632" spans="2:13" x14ac:dyDescent="0.2">
      <c r="B632" s="85"/>
      <c r="C632" s="85"/>
      <c r="H632" s="29"/>
      <c r="M632" s="27"/>
    </row>
    <row r="633" spans="2:13" x14ac:dyDescent="0.2">
      <c r="B633" s="85"/>
      <c r="C633" s="85"/>
      <c r="H633" s="29"/>
      <c r="M633" s="27"/>
    </row>
    <row r="634" spans="2:13" x14ac:dyDescent="0.2">
      <c r="B634" s="85"/>
      <c r="C634" s="85"/>
      <c r="H634" s="29"/>
      <c r="M634" s="27"/>
    </row>
    <row r="635" spans="2:13" x14ac:dyDescent="0.2">
      <c r="B635" s="85"/>
      <c r="C635" s="85"/>
      <c r="H635" s="29"/>
      <c r="M635" s="27"/>
    </row>
    <row r="636" spans="2:13" x14ac:dyDescent="0.2">
      <c r="B636" s="85"/>
      <c r="C636" s="85"/>
      <c r="H636" s="29"/>
      <c r="M636" s="27"/>
    </row>
    <row r="637" spans="2:13" x14ac:dyDescent="0.2">
      <c r="B637" s="85"/>
      <c r="C637" s="85"/>
      <c r="H637" s="29"/>
      <c r="M637" s="27"/>
    </row>
    <row r="638" spans="2:13" x14ac:dyDescent="0.2">
      <c r="B638" s="85"/>
      <c r="C638" s="85"/>
      <c r="H638" s="29"/>
      <c r="M638" s="27"/>
    </row>
    <row r="639" spans="2:13" x14ac:dyDescent="0.2">
      <c r="B639" s="85"/>
      <c r="C639" s="85"/>
      <c r="H639" s="29"/>
      <c r="M639" s="27"/>
    </row>
    <row r="640" spans="2:13" x14ac:dyDescent="0.2">
      <c r="B640" s="85"/>
      <c r="C640" s="85"/>
      <c r="H640" s="29"/>
      <c r="M640" s="27"/>
    </row>
    <row r="641" spans="2:13" x14ac:dyDescent="0.2">
      <c r="B641" s="85"/>
      <c r="C641" s="85"/>
      <c r="H641" s="29"/>
      <c r="M641" s="27"/>
    </row>
    <row r="642" spans="2:13" x14ac:dyDescent="0.2">
      <c r="B642" s="85"/>
      <c r="C642" s="85"/>
      <c r="H642" s="29"/>
      <c r="M642" s="27"/>
    </row>
    <row r="643" spans="2:13" x14ac:dyDescent="0.2">
      <c r="B643" s="85"/>
      <c r="C643" s="85"/>
      <c r="H643" s="29"/>
      <c r="M643" s="27"/>
    </row>
    <row r="644" spans="2:13" x14ac:dyDescent="0.2">
      <c r="B644" s="85"/>
      <c r="C644" s="85"/>
      <c r="H644" s="29"/>
      <c r="M644" s="27"/>
    </row>
    <row r="645" spans="2:13" x14ac:dyDescent="0.2">
      <c r="B645" s="85"/>
      <c r="C645" s="85"/>
      <c r="H645" s="29"/>
      <c r="M645" s="27"/>
    </row>
    <row r="646" spans="2:13" x14ac:dyDescent="0.2">
      <c r="B646" s="85"/>
      <c r="C646" s="85"/>
      <c r="H646" s="29"/>
      <c r="M646" s="27"/>
    </row>
    <row r="647" spans="2:13" x14ac:dyDescent="0.2">
      <c r="B647" s="85"/>
      <c r="C647" s="85"/>
      <c r="H647" s="29"/>
      <c r="M647" s="27"/>
    </row>
    <row r="648" spans="2:13" x14ac:dyDescent="0.2">
      <c r="B648" s="85"/>
      <c r="C648" s="85"/>
      <c r="H648" s="29"/>
      <c r="M648" s="27"/>
    </row>
    <row r="649" spans="2:13" x14ac:dyDescent="0.2">
      <c r="B649" s="85"/>
      <c r="C649" s="85"/>
      <c r="H649" s="29"/>
      <c r="M649" s="27"/>
    </row>
    <row r="650" spans="2:13" x14ac:dyDescent="0.2">
      <c r="B650" s="85"/>
      <c r="C650" s="85"/>
      <c r="H650" s="29"/>
      <c r="M650" s="27"/>
    </row>
    <row r="651" spans="2:13" x14ac:dyDescent="0.2">
      <c r="B651" s="85"/>
      <c r="C651" s="85"/>
      <c r="H651" s="29"/>
      <c r="M651" s="27"/>
    </row>
    <row r="652" spans="2:13" x14ac:dyDescent="0.2">
      <c r="B652" s="85"/>
      <c r="C652" s="85"/>
      <c r="H652" s="29"/>
      <c r="M652" s="27"/>
    </row>
    <row r="653" spans="2:13" x14ac:dyDescent="0.2">
      <c r="B653" s="85"/>
      <c r="C653" s="85"/>
      <c r="H653" s="29"/>
      <c r="M653" s="27"/>
    </row>
    <row r="654" spans="2:13" x14ac:dyDescent="0.2">
      <c r="B654" s="85"/>
      <c r="C654" s="85"/>
      <c r="H654" s="29"/>
      <c r="M654" s="27"/>
    </row>
    <row r="655" spans="2:13" x14ac:dyDescent="0.2">
      <c r="B655" s="85"/>
      <c r="C655" s="85"/>
      <c r="H655" s="29"/>
      <c r="M655" s="27"/>
    </row>
    <row r="656" spans="2:13" x14ac:dyDescent="0.2">
      <c r="B656" s="85"/>
      <c r="C656" s="85"/>
      <c r="H656" s="29"/>
      <c r="M656" s="27"/>
    </row>
    <row r="657" spans="2:13" x14ac:dyDescent="0.2">
      <c r="B657" s="85"/>
      <c r="C657" s="85"/>
      <c r="H657" s="29"/>
      <c r="M657" s="27"/>
    </row>
    <row r="658" spans="2:13" x14ac:dyDescent="0.2">
      <c r="B658" s="85"/>
      <c r="C658" s="85"/>
      <c r="H658" s="29"/>
      <c r="M658" s="27"/>
    </row>
    <row r="659" spans="2:13" x14ac:dyDescent="0.2">
      <c r="B659" s="85"/>
      <c r="C659" s="85"/>
      <c r="H659" s="29"/>
      <c r="M659" s="27"/>
    </row>
    <row r="660" spans="2:13" x14ac:dyDescent="0.2">
      <c r="B660" s="85"/>
      <c r="C660" s="85"/>
      <c r="H660" s="29"/>
      <c r="M660" s="27"/>
    </row>
    <row r="661" spans="2:13" x14ac:dyDescent="0.2">
      <c r="B661" s="85"/>
      <c r="C661" s="85"/>
      <c r="H661" s="29"/>
      <c r="M661" s="27"/>
    </row>
    <row r="662" spans="2:13" x14ac:dyDescent="0.2">
      <c r="B662" s="85"/>
      <c r="C662" s="85"/>
      <c r="H662" s="29"/>
      <c r="M662" s="27"/>
    </row>
    <row r="663" spans="2:13" x14ac:dyDescent="0.2">
      <c r="B663" s="85"/>
      <c r="C663" s="85"/>
      <c r="H663" s="29"/>
      <c r="M663" s="27"/>
    </row>
    <row r="664" spans="2:13" x14ac:dyDescent="0.2">
      <c r="B664" s="85"/>
      <c r="C664" s="85"/>
      <c r="H664" s="29"/>
      <c r="M664" s="27"/>
    </row>
    <row r="665" spans="2:13" x14ac:dyDescent="0.2">
      <c r="B665" s="85"/>
      <c r="C665" s="85"/>
      <c r="H665" s="29"/>
      <c r="M665" s="27"/>
    </row>
    <row r="666" spans="2:13" x14ac:dyDescent="0.2">
      <c r="B666" s="85"/>
      <c r="C666" s="85"/>
      <c r="H666" s="29"/>
      <c r="M666" s="27"/>
    </row>
    <row r="667" spans="2:13" x14ac:dyDescent="0.2">
      <c r="B667" s="85"/>
      <c r="C667" s="85"/>
      <c r="H667" s="29"/>
      <c r="M667" s="27"/>
    </row>
    <row r="668" spans="2:13" x14ac:dyDescent="0.2">
      <c r="B668" s="85"/>
      <c r="C668" s="85"/>
      <c r="H668" s="29"/>
      <c r="M668" s="27"/>
    </row>
    <row r="669" spans="2:13" x14ac:dyDescent="0.2">
      <c r="B669" s="85"/>
      <c r="C669" s="85"/>
      <c r="H669" s="29"/>
      <c r="M669" s="27"/>
    </row>
    <row r="670" spans="2:13" x14ac:dyDescent="0.2">
      <c r="B670" s="85"/>
      <c r="C670" s="85"/>
      <c r="H670" s="29"/>
      <c r="M670" s="27"/>
    </row>
    <row r="671" spans="2:13" x14ac:dyDescent="0.2">
      <c r="B671" s="85"/>
      <c r="C671" s="85"/>
      <c r="H671" s="29"/>
      <c r="M671" s="27"/>
    </row>
    <row r="672" spans="2:13" x14ac:dyDescent="0.2">
      <c r="B672" s="85"/>
      <c r="C672" s="85"/>
      <c r="H672" s="29"/>
      <c r="M672" s="27"/>
    </row>
    <row r="673" spans="2:13" x14ac:dyDescent="0.2">
      <c r="B673" s="85"/>
      <c r="C673" s="85"/>
      <c r="H673" s="29"/>
      <c r="M673" s="27"/>
    </row>
    <row r="674" spans="2:13" x14ac:dyDescent="0.2">
      <c r="B674" s="85"/>
      <c r="C674" s="85"/>
      <c r="H674" s="29"/>
      <c r="M674" s="27"/>
    </row>
    <row r="675" spans="2:13" x14ac:dyDescent="0.2">
      <c r="B675" s="85"/>
      <c r="C675" s="85"/>
      <c r="H675" s="29"/>
      <c r="M675" s="27"/>
    </row>
    <row r="676" spans="2:13" x14ac:dyDescent="0.2">
      <c r="B676" s="85"/>
      <c r="C676" s="85"/>
      <c r="H676" s="29"/>
      <c r="M676" s="27"/>
    </row>
    <row r="677" spans="2:13" x14ac:dyDescent="0.2">
      <c r="B677" s="85"/>
      <c r="C677" s="85"/>
      <c r="H677" s="29"/>
      <c r="M677" s="27"/>
    </row>
    <row r="678" spans="2:13" x14ac:dyDescent="0.2">
      <c r="B678" s="85"/>
      <c r="C678" s="85"/>
      <c r="H678" s="29"/>
      <c r="M678" s="27"/>
    </row>
    <row r="679" spans="2:13" x14ac:dyDescent="0.2">
      <c r="B679" s="85"/>
      <c r="C679" s="85"/>
      <c r="H679" s="29"/>
      <c r="M679" s="27"/>
    </row>
    <row r="680" spans="2:13" x14ac:dyDescent="0.2">
      <c r="B680" s="85"/>
      <c r="C680" s="85"/>
      <c r="H680" s="29"/>
      <c r="M680" s="27"/>
    </row>
    <row r="681" spans="2:13" x14ac:dyDescent="0.2">
      <c r="B681" s="85"/>
      <c r="C681" s="85"/>
      <c r="H681" s="29"/>
      <c r="M681" s="27"/>
    </row>
    <row r="682" spans="2:13" x14ac:dyDescent="0.2">
      <c r="B682" s="85"/>
      <c r="C682" s="85"/>
      <c r="H682" s="29"/>
      <c r="M682" s="27"/>
    </row>
    <row r="683" spans="2:13" x14ac:dyDescent="0.2">
      <c r="B683" s="85"/>
      <c r="C683" s="85"/>
      <c r="H683" s="29"/>
      <c r="M683" s="27"/>
    </row>
    <row r="684" spans="2:13" x14ac:dyDescent="0.2">
      <c r="B684" s="85"/>
      <c r="C684" s="85"/>
      <c r="H684" s="29"/>
      <c r="M684" s="27"/>
    </row>
    <row r="685" spans="2:13" x14ac:dyDescent="0.2">
      <c r="B685" s="85"/>
      <c r="C685" s="85"/>
      <c r="H685" s="29"/>
      <c r="M685" s="27"/>
    </row>
    <row r="686" spans="2:13" x14ac:dyDescent="0.2">
      <c r="B686" s="85"/>
      <c r="C686" s="85"/>
      <c r="H686" s="29"/>
      <c r="M686" s="27"/>
    </row>
    <row r="687" spans="2:13" x14ac:dyDescent="0.2">
      <c r="B687" s="85"/>
      <c r="C687" s="85"/>
      <c r="H687" s="29"/>
      <c r="M687" s="27"/>
    </row>
    <row r="688" spans="2:13" x14ac:dyDescent="0.2">
      <c r="B688" s="85"/>
      <c r="C688" s="85"/>
      <c r="H688" s="29"/>
      <c r="M688" s="27"/>
    </row>
    <row r="689" spans="2:13" x14ac:dyDescent="0.2">
      <c r="B689" s="85"/>
      <c r="C689" s="85"/>
      <c r="H689" s="29"/>
      <c r="M689" s="27"/>
    </row>
    <row r="690" spans="2:13" x14ac:dyDescent="0.2">
      <c r="B690" s="85"/>
      <c r="C690" s="85"/>
      <c r="H690" s="29"/>
      <c r="M690" s="27"/>
    </row>
    <row r="691" spans="2:13" x14ac:dyDescent="0.2">
      <c r="B691" s="85"/>
      <c r="C691" s="85"/>
      <c r="H691" s="29"/>
      <c r="M691" s="27"/>
    </row>
    <row r="692" spans="2:13" x14ac:dyDescent="0.2">
      <c r="B692" s="85"/>
      <c r="C692" s="85"/>
      <c r="H692" s="29"/>
      <c r="M692" s="27"/>
    </row>
    <row r="693" spans="2:13" x14ac:dyDescent="0.2">
      <c r="B693" s="85"/>
      <c r="C693" s="85"/>
      <c r="H693" s="29"/>
      <c r="M693" s="27"/>
    </row>
    <row r="694" spans="2:13" x14ac:dyDescent="0.2">
      <c r="B694" s="85"/>
      <c r="C694" s="85"/>
      <c r="H694" s="29"/>
      <c r="M694" s="27"/>
    </row>
    <row r="695" spans="2:13" x14ac:dyDescent="0.2">
      <c r="B695" s="85"/>
      <c r="C695" s="85"/>
      <c r="H695" s="29"/>
      <c r="M695" s="27"/>
    </row>
    <row r="696" spans="2:13" x14ac:dyDescent="0.2">
      <c r="B696" s="85"/>
      <c r="C696" s="85"/>
      <c r="H696" s="29"/>
      <c r="M696" s="27"/>
    </row>
    <row r="697" spans="2:13" x14ac:dyDescent="0.2">
      <c r="B697" s="85"/>
      <c r="C697" s="85"/>
      <c r="H697" s="29"/>
      <c r="M697" s="27"/>
    </row>
    <row r="698" spans="2:13" x14ac:dyDescent="0.2">
      <c r="B698" s="85"/>
      <c r="C698" s="85"/>
      <c r="H698" s="29"/>
      <c r="M698" s="27"/>
    </row>
    <row r="699" spans="2:13" x14ac:dyDescent="0.2">
      <c r="B699" s="85"/>
      <c r="C699" s="85"/>
      <c r="H699" s="29"/>
      <c r="M699" s="27"/>
    </row>
    <row r="700" spans="2:13" x14ac:dyDescent="0.2">
      <c r="B700" s="85"/>
      <c r="C700" s="85"/>
      <c r="H700" s="29"/>
      <c r="M700" s="27"/>
    </row>
    <row r="701" spans="2:13" x14ac:dyDescent="0.2">
      <c r="B701" s="85"/>
      <c r="C701" s="85"/>
      <c r="H701" s="29"/>
      <c r="M701" s="27"/>
    </row>
    <row r="702" spans="2:13" x14ac:dyDescent="0.2">
      <c r="B702" s="85"/>
      <c r="C702" s="85"/>
      <c r="H702" s="29"/>
      <c r="M702" s="27"/>
    </row>
    <row r="703" spans="2:13" x14ac:dyDescent="0.2">
      <c r="B703" s="85"/>
      <c r="C703" s="85"/>
      <c r="H703" s="29"/>
      <c r="M703" s="27"/>
    </row>
    <row r="704" spans="2:13" x14ac:dyDescent="0.2">
      <c r="B704" s="85"/>
      <c r="C704" s="85"/>
      <c r="H704" s="29"/>
      <c r="M704" s="27"/>
    </row>
    <row r="705" spans="2:13" x14ac:dyDescent="0.2">
      <c r="B705" s="85"/>
      <c r="C705" s="85"/>
      <c r="H705" s="29"/>
      <c r="M705" s="27"/>
    </row>
    <row r="706" spans="2:13" x14ac:dyDescent="0.2">
      <c r="B706" s="85"/>
      <c r="C706" s="85"/>
      <c r="H706" s="29"/>
      <c r="M706" s="27"/>
    </row>
    <row r="707" spans="2:13" x14ac:dyDescent="0.2">
      <c r="B707" s="85"/>
      <c r="C707" s="85"/>
      <c r="H707" s="29"/>
      <c r="M707" s="27"/>
    </row>
    <row r="708" spans="2:13" x14ac:dyDescent="0.2">
      <c r="B708" s="85"/>
      <c r="C708" s="85"/>
      <c r="H708" s="29"/>
      <c r="M708" s="27"/>
    </row>
    <row r="709" spans="2:13" x14ac:dyDescent="0.2">
      <c r="B709" s="85"/>
      <c r="C709" s="85"/>
      <c r="H709" s="29"/>
      <c r="M709" s="27"/>
    </row>
    <row r="710" spans="2:13" x14ac:dyDescent="0.2">
      <c r="B710" s="85"/>
      <c r="C710" s="85"/>
      <c r="H710" s="29"/>
      <c r="M710" s="27"/>
    </row>
    <row r="711" spans="2:13" x14ac:dyDescent="0.2">
      <c r="B711" s="85"/>
      <c r="C711" s="85"/>
      <c r="H711" s="29"/>
      <c r="M711" s="27"/>
    </row>
    <row r="712" spans="2:13" x14ac:dyDescent="0.2">
      <c r="B712" s="85"/>
      <c r="C712" s="85"/>
      <c r="H712" s="29"/>
      <c r="M712" s="27"/>
    </row>
    <row r="713" spans="2:13" x14ac:dyDescent="0.2">
      <c r="B713" s="85"/>
      <c r="C713" s="85"/>
      <c r="H713" s="29"/>
      <c r="M713" s="27"/>
    </row>
    <row r="714" spans="2:13" x14ac:dyDescent="0.2">
      <c r="B714" s="85"/>
      <c r="C714" s="85"/>
      <c r="H714" s="29"/>
      <c r="M714" s="27"/>
    </row>
    <row r="715" spans="2:13" x14ac:dyDescent="0.2">
      <c r="B715" s="85"/>
      <c r="C715" s="85"/>
      <c r="H715" s="29"/>
      <c r="M715" s="27"/>
    </row>
    <row r="716" spans="2:13" x14ac:dyDescent="0.2">
      <c r="B716" s="85"/>
      <c r="C716" s="85"/>
      <c r="H716" s="29"/>
      <c r="M716" s="27"/>
    </row>
    <row r="717" spans="2:13" x14ac:dyDescent="0.2">
      <c r="B717" s="85"/>
      <c r="C717" s="85"/>
      <c r="H717" s="29"/>
      <c r="M717" s="27"/>
    </row>
    <row r="718" spans="2:13" x14ac:dyDescent="0.2">
      <c r="B718" s="85"/>
      <c r="C718" s="85"/>
      <c r="H718" s="29"/>
      <c r="M718" s="27"/>
    </row>
    <row r="719" spans="2:13" x14ac:dyDescent="0.2">
      <c r="B719" s="85"/>
      <c r="C719" s="85"/>
      <c r="H719" s="29"/>
      <c r="M719" s="27"/>
    </row>
    <row r="720" spans="2:13" x14ac:dyDescent="0.2">
      <c r="B720" s="85"/>
      <c r="C720" s="85"/>
      <c r="H720" s="29"/>
      <c r="M720" s="27"/>
    </row>
    <row r="721" spans="2:13" x14ac:dyDescent="0.2">
      <c r="B721" s="85"/>
      <c r="C721" s="85"/>
      <c r="H721" s="29"/>
      <c r="M721" s="27"/>
    </row>
    <row r="722" spans="2:13" x14ac:dyDescent="0.2">
      <c r="B722" s="85"/>
      <c r="C722" s="85"/>
      <c r="H722" s="29"/>
      <c r="M722" s="27"/>
    </row>
    <row r="723" spans="2:13" x14ac:dyDescent="0.2">
      <c r="B723" s="85"/>
      <c r="C723" s="85"/>
      <c r="H723" s="29"/>
      <c r="M723" s="27"/>
    </row>
    <row r="724" spans="2:13" x14ac:dyDescent="0.2">
      <c r="B724" s="85"/>
      <c r="C724" s="85"/>
      <c r="H724" s="29"/>
      <c r="M724" s="27"/>
    </row>
    <row r="725" spans="2:13" x14ac:dyDescent="0.2">
      <c r="B725" s="85"/>
      <c r="C725" s="85"/>
      <c r="H725" s="29"/>
      <c r="M725" s="27"/>
    </row>
    <row r="726" spans="2:13" x14ac:dyDescent="0.2">
      <c r="B726" s="85"/>
      <c r="C726" s="85"/>
      <c r="H726" s="29"/>
      <c r="M726" s="27"/>
    </row>
    <row r="727" spans="2:13" x14ac:dyDescent="0.2">
      <c r="B727" s="85"/>
      <c r="C727" s="85"/>
      <c r="H727" s="29"/>
      <c r="M727" s="27"/>
    </row>
    <row r="728" spans="2:13" x14ac:dyDescent="0.2">
      <c r="B728" s="85"/>
      <c r="C728" s="85"/>
      <c r="H728" s="29"/>
      <c r="M728" s="27"/>
    </row>
    <row r="729" spans="2:13" x14ac:dyDescent="0.2">
      <c r="B729" s="85"/>
      <c r="C729" s="85"/>
      <c r="H729" s="29"/>
      <c r="M729" s="27"/>
    </row>
    <row r="730" spans="2:13" x14ac:dyDescent="0.2">
      <c r="B730" s="85"/>
      <c r="C730" s="85"/>
      <c r="H730" s="29"/>
      <c r="M730" s="27"/>
    </row>
    <row r="731" spans="2:13" x14ac:dyDescent="0.2">
      <c r="B731" s="85"/>
      <c r="C731" s="85"/>
      <c r="H731" s="29"/>
      <c r="M731" s="27"/>
    </row>
    <row r="732" spans="2:13" x14ac:dyDescent="0.2">
      <c r="B732" s="85"/>
      <c r="C732" s="85"/>
      <c r="H732" s="29"/>
      <c r="M732" s="27"/>
    </row>
    <row r="733" spans="2:13" x14ac:dyDescent="0.2">
      <c r="B733" s="85"/>
      <c r="C733" s="85"/>
      <c r="H733" s="29"/>
      <c r="M733" s="27"/>
    </row>
    <row r="734" spans="2:13" x14ac:dyDescent="0.2">
      <c r="B734" s="85"/>
      <c r="C734" s="85"/>
      <c r="H734" s="29"/>
      <c r="M734" s="27"/>
    </row>
    <row r="735" spans="2:13" x14ac:dyDescent="0.2">
      <c r="B735" s="85"/>
      <c r="C735" s="85"/>
      <c r="H735" s="29"/>
      <c r="M735" s="27"/>
    </row>
    <row r="736" spans="2:13" x14ac:dyDescent="0.2">
      <c r="B736" s="85"/>
      <c r="C736" s="85"/>
      <c r="H736" s="29"/>
      <c r="M736" s="27"/>
    </row>
    <row r="737" spans="2:13" x14ac:dyDescent="0.2">
      <c r="B737" s="85"/>
      <c r="C737" s="85"/>
      <c r="H737" s="29"/>
      <c r="M737" s="27"/>
    </row>
    <row r="738" spans="2:13" x14ac:dyDescent="0.2">
      <c r="B738" s="85"/>
      <c r="C738" s="85"/>
      <c r="H738" s="29"/>
      <c r="M738" s="27"/>
    </row>
    <row r="739" spans="2:13" x14ac:dyDescent="0.2">
      <c r="B739" s="85"/>
      <c r="C739" s="85"/>
      <c r="H739" s="29"/>
      <c r="M739" s="27"/>
    </row>
    <row r="740" spans="2:13" x14ac:dyDescent="0.2">
      <c r="B740" s="85"/>
      <c r="C740" s="85"/>
      <c r="H740" s="29"/>
      <c r="M740" s="27"/>
    </row>
    <row r="741" spans="2:13" x14ac:dyDescent="0.2">
      <c r="B741" s="85"/>
      <c r="C741" s="85"/>
      <c r="H741" s="29"/>
      <c r="M741" s="27"/>
    </row>
    <row r="742" spans="2:13" x14ac:dyDescent="0.2">
      <c r="B742" s="85"/>
      <c r="C742" s="85"/>
      <c r="H742" s="29"/>
      <c r="M742" s="27"/>
    </row>
    <row r="743" spans="2:13" x14ac:dyDescent="0.2">
      <c r="B743" s="85"/>
      <c r="C743" s="85"/>
      <c r="H743" s="29"/>
      <c r="M743" s="27"/>
    </row>
    <row r="744" spans="2:13" x14ac:dyDescent="0.2">
      <c r="B744" s="85"/>
      <c r="C744" s="85"/>
      <c r="H744" s="29"/>
      <c r="M744" s="27"/>
    </row>
    <row r="745" spans="2:13" x14ac:dyDescent="0.2">
      <c r="B745" s="85"/>
      <c r="C745" s="85"/>
      <c r="H745" s="29"/>
      <c r="M745" s="27"/>
    </row>
    <row r="746" spans="2:13" x14ac:dyDescent="0.2">
      <c r="B746" s="85"/>
      <c r="C746" s="85"/>
      <c r="H746" s="29"/>
      <c r="M746" s="27"/>
    </row>
    <row r="747" spans="2:13" x14ac:dyDescent="0.2">
      <c r="B747" s="85"/>
      <c r="C747" s="85"/>
      <c r="H747" s="29"/>
      <c r="M747" s="27"/>
    </row>
    <row r="748" spans="2:13" x14ac:dyDescent="0.2">
      <c r="B748" s="85"/>
      <c r="C748" s="85"/>
      <c r="H748" s="29"/>
      <c r="M748" s="27"/>
    </row>
    <row r="749" spans="2:13" x14ac:dyDescent="0.2">
      <c r="B749" s="85"/>
      <c r="C749" s="85"/>
      <c r="H749" s="29"/>
      <c r="M749" s="27"/>
    </row>
    <row r="750" spans="2:13" x14ac:dyDescent="0.2">
      <c r="B750" s="85"/>
      <c r="C750" s="85"/>
      <c r="H750" s="29"/>
      <c r="M750" s="27"/>
    </row>
    <row r="751" spans="2:13" x14ac:dyDescent="0.2">
      <c r="B751" s="85"/>
      <c r="C751" s="85"/>
      <c r="H751" s="29"/>
      <c r="M751" s="27"/>
    </row>
    <row r="752" spans="2:13" x14ac:dyDescent="0.2">
      <c r="B752" s="85"/>
      <c r="C752" s="85"/>
      <c r="H752" s="29"/>
      <c r="M752" s="27"/>
    </row>
    <row r="753" spans="2:13" x14ac:dyDescent="0.2">
      <c r="B753" s="85"/>
      <c r="C753" s="85"/>
      <c r="H753" s="29"/>
      <c r="M753" s="27"/>
    </row>
    <row r="754" spans="2:13" x14ac:dyDescent="0.2">
      <c r="B754" s="85"/>
      <c r="C754" s="85"/>
      <c r="H754" s="29"/>
      <c r="M754" s="27"/>
    </row>
    <row r="755" spans="2:13" x14ac:dyDescent="0.2">
      <c r="B755" s="85"/>
      <c r="C755" s="85"/>
      <c r="H755" s="29"/>
      <c r="M755" s="27"/>
    </row>
    <row r="756" spans="2:13" x14ac:dyDescent="0.2">
      <c r="B756" s="85"/>
      <c r="C756" s="85"/>
      <c r="H756" s="29"/>
      <c r="M756" s="27"/>
    </row>
    <row r="757" spans="2:13" x14ac:dyDescent="0.2">
      <c r="B757" s="85"/>
      <c r="C757" s="85"/>
      <c r="H757" s="29"/>
      <c r="M757" s="27"/>
    </row>
    <row r="758" spans="2:13" x14ac:dyDescent="0.2">
      <c r="B758" s="85"/>
      <c r="C758" s="85"/>
      <c r="H758" s="29"/>
      <c r="M758" s="27"/>
    </row>
    <row r="759" spans="2:13" x14ac:dyDescent="0.2">
      <c r="B759" s="85"/>
      <c r="C759" s="85"/>
      <c r="H759" s="29"/>
      <c r="M759" s="27"/>
    </row>
    <row r="760" spans="2:13" x14ac:dyDescent="0.2">
      <c r="B760" s="85"/>
      <c r="C760" s="85"/>
      <c r="H760" s="29"/>
      <c r="M760" s="27"/>
    </row>
    <row r="761" spans="2:13" x14ac:dyDescent="0.2">
      <c r="B761" s="85"/>
      <c r="C761" s="85"/>
      <c r="H761" s="29"/>
      <c r="M761" s="27"/>
    </row>
    <row r="762" spans="2:13" x14ac:dyDescent="0.2">
      <c r="B762" s="85"/>
      <c r="C762" s="85"/>
      <c r="H762" s="29"/>
      <c r="M762" s="27"/>
    </row>
    <row r="763" spans="2:13" x14ac:dyDescent="0.2">
      <c r="B763" s="85"/>
      <c r="C763" s="85"/>
      <c r="H763" s="29"/>
      <c r="M763" s="27"/>
    </row>
    <row r="764" spans="2:13" x14ac:dyDescent="0.2">
      <c r="B764" s="85"/>
      <c r="C764" s="85"/>
      <c r="H764" s="29"/>
      <c r="M764" s="27"/>
    </row>
    <row r="765" spans="2:13" x14ac:dyDescent="0.2">
      <c r="B765" s="85"/>
      <c r="C765" s="85"/>
      <c r="H765" s="29"/>
      <c r="M765" s="27"/>
    </row>
    <row r="766" spans="2:13" x14ac:dyDescent="0.2">
      <c r="B766" s="85"/>
      <c r="C766" s="85"/>
      <c r="H766" s="29"/>
      <c r="M766" s="27"/>
    </row>
    <row r="767" spans="2:13" x14ac:dyDescent="0.2">
      <c r="B767" s="85"/>
      <c r="C767" s="85"/>
      <c r="H767" s="29"/>
      <c r="M767" s="27"/>
    </row>
    <row r="768" spans="2:13" x14ac:dyDescent="0.2">
      <c r="B768" s="85"/>
      <c r="C768" s="85"/>
      <c r="H768" s="29"/>
      <c r="M768" s="27"/>
    </row>
    <row r="769" spans="2:13" x14ac:dyDescent="0.2">
      <c r="B769" s="85"/>
      <c r="C769" s="85"/>
      <c r="H769" s="29"/>
      <c r="M769" s="27"/>
    </row>
    <row r="770" spans="2:13" x14ac:dyDescent="0.2">
      <c r="B770" s="85"/>
      <c r="C770" s="85"/>
      <c r="H770" s="29"/>
      <c r="M770" s="27"/>
    </row>
    <row r="771" spans="2:13" x14ac:dyDescent="0.2">
      <c r="B771" s="85"/>
      <c r="C771" s="85"/>
      <c r="H771" s="29"/>
      <c r="M771" s="27"/>
    </row>
    <row r="772" spans="2:13" x14ac:dyDescent="0.2">
      <c r="B772" s="85"/>
      <c r="C772" s="85"/>
      <c r="H772" s="29"/>
      <c r="M772" s="27"/>
    </row>
    <row r="773" spans="2:13" x14ac:dyDescent="0.2">
      <c r="B773" s="85"/>
      <c r="C773" s="85"/>
      <c r="H773" s="29"/>
      <c r="M773" s="27"/>
    </row>
    <row r="774" spans="2:13" x14ac:dyDescent="0.2">
      <c r="B774" s="85"/>
      <c r="C774" s="85"/>
      <c r="H774" s="29"/>
      <c r="M774" s="27"/>
    </row>
    <row r="775" spans="2:13" x14ac:dyDescent="0.2">
      <c r="B775" s="85"/>
      <c r="C775" s="85"/>
      <c r="H775" s="29"/>
      <c r="M775" s="27"/>
    </row>
    <row r="776" spans="2:13" x14ac:dyDescent="0.2">
      <c r="B776" s="85"/>
      <c r="C776" s="85"/>
      <c r="H776" s="29"/>
      <c r="M776" s="27"/>
    </row>
    <row r="777" spans="2:13" x14ac:dyDescent="0.2">
      <c r="B777" s="85"/>
      <c r="C777" s="85"/>
      <c r="H777" s="29"/>
      <c r="M777" s="27"/>
    </row>
    <row r="778" spans="2:13" x14ac:dyDescent="0.2">
      <c r="B778" s="85"/>
      <c r="C778" s="85"/>
      <c r="H778" s="29"/>
      <c r="M778" s="27"/>
    </row>
    <row r="779" spans="2:13" x14ac:dyDescent="0.2">
      <c r="B779" s="85"/>
      <c r="C779" s="85"/>
      <c r="H779" s="29"/>
      <c r="M779" s="27"/>
    </row>
    <row r="780" spans="2:13" x14ac:dyDescent="0.2">
      <c r="B780" s="85"/>
      <c r="C780" s="85"/>
      <c r="H780" s="29"/>
      <c r="M780" s="27"/>
    </row>
    <row r="781" spans="2:13" x14ac:dyDescent="0.2">
      <c r="B781" s="85"/>
      <c r="C781" s="85"/>
      <c r="H781" s="29"/>
      <c r="M781" s="27"/>
    </row>
    <row r="782" spans="2:13" x14ac:dyDescent="0.2">
      <c r="B782" s="85"/>
      <c r="C782" s="85"/>
      <c r="H782" s="29"/>
      <c r="M782" s="27"/>
    </row>
    <row r="783" spans="2:13" x14ac:dyDescent="0.2">
      <c r="B783" s="85"/>
      <c r="C783" s="85"/>
      <c r="H783" s="29"/>
      <c r="M783" s="27"/>
    </row>
    <row r="784" spans="2:13" x14ac:dyDescent="0.2">
      <c r="B784" s="85"/>
      <c r="C784" s="85"/>
      <c r="H784" s="29"/>
      <c r="M784" s="27"/>
    </row>
    <row r="785" spans="2:13" x14ac:dyDescent="0.2">
      <c r="B785" s="85"/>
      <c r="C785" s="85"/>
      <c r="H785" s="29"/>
      <c r="M785" s="27"/>
    </row>
    <row r="786" spans="2:13" x14ac:dyDescent="0.2">
      <c r="B786" s="85"/>
      <c r="C786" s="85"/>
      <c r="H786" s="29"/>
      <c r="M786" s="27"/>
    </row>
    <row r="787" spans="2:13" x14ac:dyDescent="0.2">
      <c r="B787" s="85"/>
      <c r="C787" s="85"/>
      <c r="H787" s="29"/>
      <c r="M787" s="27"/>
    </row>
    <row r="788" spans="2:13" x14ac:dyDescent="0.2">
      <c r="B788" s="85"/>
      <c r="C788" s="85"/>
      <c r="H788" s="29"/>
      <c r="M788" s="27"/>
    </row>
    <row r="789" spans="2:13" x14ac:dyDescent="0.2">
      <c r="B789" s="85"/>
      <c r="C789" s="85"/>
      <c r="H789" s="29"/>
      <c r="M789" s="27"/>
    </row>
    <row r="790" spans="2:13" x14ac:dyDescent="0.2">
      <c r="B790" s="85"/>
      <c r="C790" s="85"/>
      <c r="H790" s="29"/>
      <c r="M790" s="27"/>
    </row>
    <row r="791" spans="2:13" x14ac:dyDescent="0.2">
      <c r="B791" s="85"/>
      <c r="C791" s="85"/>
      <c r="H791" s="29"/>
      <c r="M791" s="27"/>
    </row>
    <row r="792" spans="2:13" x14ac:dyDescent="0.2">
      <c r="B792" s="85"/>
      <c r="C792" s="85"/>
      <c r="H792" s="29"/>
      <c r="M792" s="27"/>
    </row>
    <row r="793" spans="2:13" x14ac:dyDescent="0.2">
      <c r="B793" s="85"/>
      <c r="C793" s="85"/>
      <c r="H793" s="29"/>
      <c r="M793" s="27"/>
    </row>
    <row r="794" spans="2:13" x14ac:dyDescent="0.2">
      <c r="B794" s="85"/>
      <c r="C794" s="85"/>
      <c r="H794" s="29"/>
      <c r="M794" s="27"/>
    </row>
    <row r="795" spans="2:13" x14ac:dyDescent="0.2">
      <c r="B795" s="85"/>
      <c r="C795" s="85"/>
      <c r="H795" s="29"/>
      <c r="M795" s="27"/>
    </row>
    <row r="796" spans="2:13" x14ac:dyDescent="0.2">
      <c r="B796" s="85"/>
      <c r="C796" s="85"/>
      <c r="H796" s="29"/>
      <c r="M796" s="27"/>
    </row>
    <row r="797" spans="2:13" x14ac:dyDescent="0.2">
      <c r="B797" s="85"/>
      <c r="C797" s="85"/>
      <c r="H797" s="29"/>
      <c r="M797" s="27"/>
    </row>
    <row r="798" spans="2:13" x14ac:dyDescent="0.2">
      <c r="B798" s="85"/>
      <c r="C798" s="85"/>
      <c r="H798" s="29"/>
      <c r="M798" s="27"/>
    </row>
    <row r="799" spans="2:13" x14ac:dyDescent="0.2">
      <c r="B799" s="85"/>
      <c r="C799" s="85"/>
      <c r="H799" s="29"/>
      <c r="M799" s="27"/>
    </row>
    <row r="800" spans="2:13" x14ac:dyDescent="0.2">
      <c r="B800" s="85"/>
      <c r="C800" s="85"/>
      <c r="H800" s="29"/>
      <c r="M800" s="27"/>
    </row>
    <row r="801" spans="2:13" x14ac:dyDescent="0.2">
      <c r="B801" s="85"/>
      <c r="C801" s="85"/>
      <c r="H801" s="29"/>
      <c r="M801" s="27"/>
    </row>
    <row r="802" spans="2:13" x14ac:dyDescent="0.2">
      <c r="B802" s="85"/>
      <c r="C802" s="85"/>
      <c r="H802" s="29"/>
      <c r="M802" s="27"/>
    </row>
    <row r="803" spans="2:13" x14ac:dyDescent="0.2">
      <c r="B803" s="85"/>
      <c r="C803" s="85"/>
      <c r="H803" s="29"/>
      <c r="M803" s="27"/>
    </row>
    <row r="804" spans="2:13" x14ac:dyDescent="0.2">
      <c r="B804" s="85"/>
      <c r="C804" s="85"/>
      <c r="H804" s="29"/>
      <c r="M804" s="27"/>
    </row>
    <row r="805" spans="2:13" x14ac:dyDescent="0.2">
      <c r="B805" s="85"/>
      <c r="C805" s="85"/>
      <c r="H805" s="29"/>
      <c r="M805" s="27"/>
    </row>
    <row r="806" spans="2:13" x14ac:dyDescent="0.2">
      <c r="B806" s="85"/>
      <c r="C806" s="85"/>
      <c r="H806" s="29"/>
      <c r="M806" s="27"/>
    </row>
    <row r="807" spans="2:13" x14ac:dyDescent="0.2">
      <c r="B807" s="85"/>
      <c r="C807" s="85"/>
      <c r="H807" s="29"/>
      <c r="M807" s="27"/>
    </row>
    <row r="808" spans="2:13" x14ac:dyDescent="0.2">
      <c r="B808" s="85"/>
      <c r="C808" s="85"/>
      <c r="H808" s="29"/>
      <c r="M808" s="27"/>
    </row>
    <row r="809" spans="2:13" x14ac:dyDescent="0.2">
      <c r="B809" s="85"/>
      <c r="C809" s="85"/>
      <c r="H809" s="29"/>
      <c r="M809" s="27"/>
    </row>
    <row r="810" spans="2:13" x14ac:dyDescent="0.2">
      <c r="B810" s="85"/>
      <c r="C810" s="85"/>
      <c r="H810" s="29"/>
      <c r="M810" s="27"/>
    </row>
    <row r="811" spans="2:13" x14ac:dyDescent="0.2">
      <c r="B811" s="85"/>
      <c r="C811" s="85"/>
      <c r="H811" s="29"/>
      <c r="M811" s="27"/>
    </row>
    <row r="812" spans="2:13" x14ac:dyDescent="0.2">
      <c r="B812" s="85"/>
      <c r="C812" s="85"/>
      <c r="H812" s="29"/>
      <c r="M812" s="27"/>
    </row>
    <row r="813" spans="2:13" x14ac:dyDescent="0.2">
      <c r="B813" s="85"/>
      <c r="C813" s="85"/>
      <c r="H813" s="29"/>
      <c r="M813" s="27"/>
    </row>
    <row r="814" spans="2:13" x14ac:dyDescent="0.2">
      <c r="B814" s="85"/>
      <c r="C814" s="85"/>
      <c r="H814" s="29"/>
      <c r="M814" s="27"/>
    </row>
    <row r="815" spans="2:13" x14ac:dyDescent="0.2">
      <c r="B815" s="85"/>
      <c r="C815" s="85"/>
      <c r="H815" s="29"/>
      <c r="M815" s="27"/>
    </row>
    <row r="816" spans="2:13" x14ac:dyDescent="0.2">
      <c r="B816" s="85"/>
      <c r="C816" s="85"/>
      <c r="H816" s="29"/>
      <c r="M816" s="27"/>
    </row>
    <row r="817" spans="2:13" x14ac:dyDescent="0.2">
      <c r="B817" s="85"/>
      <c r="C817" s="85"/>
      <c r="H817" s="29"/>
      <c r="M817" s="27"/>
    </row>
    <row r="818" spans="2:13" x14ac:dyDescent="0.2">
      <c r="B818" s="85"/>
      <c r="C818" s="85"/>
      <c r="H818" s="29"/>
      <c r="M818" s="27"/>
    </row>
    <row r="819" spans="2:13" x14ac:dyDescent="0.2">
      <c r="B819" s="85"/>
      <c r="C819" s="85"/>
      <c r="H819" s="29"/>
      <c r="M819" s="27"/>
    </row>
    <row r="820" spans="2:13" x14ac:dyDescent="0.2">
      <c r="B820" s="85"/>
      <c r="C820" s="85"/>
      <c r="H820" s="29"/>
      <c r="M820" s="27"/>
    </row>
    <row r="821" spans="2:13" x14ac:dyDescent="0.2">
      <c r="B821" s="85"/>
      <c r="C821" s="85"/>
      <c r="H821" s="29"/>
      <c r="M821" s="27"/>
    </row>
    <row r="822" spans="2:13" x14ac:dyDescent="0.2">
      <c r="B822" s="85"/>
      <c r="C822" s="85"/>
      <c r="H822" s="29"/>
      <c r="M822" s="27"/>
    </row>
    <row r="823" spans="2:13" x14ac:dyDescent="0.2">
      <c r="B823" s="85"/>
      <c r="C823" s="85"/>
      <c r="H823" s="29"/>
      <c r="M823" s="27"/>
    </row>
    <row r="824" spans="2:13" x14ac:dyDescent="0.2">
      <c r="B824" s="85"/>
      <c r="C824" s="85"/>
      <c r="H824" s="29"/>
      <c r="M824" s="27"/>
    </row>
    <row r="825" spans="2:13" x14ac:dyDescent="0.2">
      <c r="B825" s="85"/>
      <c r="C825" s="85"/>
      <c r="H825" s="29"/>
      <c r="M825" s="27"/>
    </row>
    <row r="826" spans="2:13" x14ac:dyDescent="0.2">
      <c r="B826" s="85"/>
      <c r="C826" s="85"/>
      <c r="H826" s="29"/>
      <c r="M826" s="27"/>
    </row>
    <row r="827" spans="2:13" x14ac:dyDescent="0.2">
      <c r="B827" s="85"/>
      <c r="C827" s="85"/>
      <c r="H827" s="29"/>
      <c r="M827" s="27"/>
    </row>
    <row r="828" spans="2:13" x14ac:dyDescent="0.2">
      <c r="B828" s="85"/>
      <c r="C828" s="85"/>
      <c r="H828" s="29"/>
      <c r="M828" s="27"/>
    </row>
    <row r="829" spans="2:13" x14ac:dyDescent="0.2">
      <c r="B829" s="85"/>
      <c r="C829" s="85"/>
      <c r="H829" s="29"/>
      <c r="M829" s="27"/>
    </row>
    <row r="830" spans="2:13" x14ac:dyDescent="0.2">
      <c r="B830" s="85"/>
      <c r="C830" s="85"/>
      <c r="H830" s="29"/>
      <c r="M830" s="27"/>
    </row>
    <row r="831" spans="2:13" x14ac:dyDescent="0.2">
      <c r="B831" s="85"/>
      <c r="C831" s="85"/>
      <c r="H831" s="29"/>
      <c r="M831" s="27"/>
    </row>
    <row r="832" spans="2:13" x14ac:dyDescent="0.2">
      <c r="B832" s="85"/>
      <c r="C832" s="85"/>
      <c r="H832" s="29"/>
      <c r="M832" s="27"/>
    </row>
    <row r="833" spans="2:13" x14ac:dyDescent="0.2">
      <c r="B833" s="85"/>
      <c r="C833" s="85"/>
      <c r="H833" s="29"/>
      <c r="M833" s="27"/>
    </row>
    <row r="834" spans="2:13" x14ac:dyDescent="0.2">
      <c r="B834" s="85"/>
      <c r="C834" s="85"/>
      <c r="H834" s="29"/>
      <c r="M834" s="27"/>
    </row>
    <row r="835" spans="2:13" x14ac:dyDescent="0.2">
      <c r="B835" s="85"/>
      <c r="C835" s="85"/>
      <c r="H835" s="29"/>
      <c r="M835" s="27"/>
    </row>
    <row r="836" spans="2:13" x14ac:dyDescent="0.2">
      <c r="B836" s="85"/>
      <c r="C836" s="85"/>
      <c r="H836" s="29"/>
      <c r="M836" s="27"/>
    </row>
    <row r="837" spans="2:13" x14ac:dyDescent="0.2">
      <c r="B837" s="85"/>
      <c r="C837" s="85"/>
      <c r="H837" s="29"/>
      <c r="M837" s="27"/>
    </row>
    <row r="838" spans="2:13" x14ac:dyDescent="0.2">
      <c r="B838" s="85"/>
      <c r="C838" s="85"/>
      <c r="H838" s="29"/>
      <c r="M838" s="27"/>
    </row>
    <row r="839" spans="2:13" x14ac:dyDescent="0.2">
      <c r="B839" s="85"/>
      <c r="C839" s="85"/>
      <c r="H839" s="29"/>
      <c r="M839" s="27"/>
    </row>
    <row r="840" spans="2:13" x14ac:dyDescent="0.2">
      <c r="B840" s="85"/>
      <c r="C840" s="85"/>
      <c r="H840" s="29"/>
      <c r="M840" s="27"/>
    </row>
    <row r="841" spans="2:13" x14ac:dyDescent="0.2">
      <c r="B841" s="85"/>
      <c r="C841" s="85"/>
      <c r="H841" s="29"/>
      <c r="M841" s="27"/>
    </row>
    <row r="842" spans="2:13" x14ac:dyDescent="0.2">
      <c r="B842" s="85"/>
      <c r="C842" s="85"/>
      <c r="H842" s="29"/>
      <c r="M842" s="27"/>
    </row>
    <row r="843" spans="2:13" x14ac:dyDescent="0.2">
      <c r="B843" s="85"/>
      <c r="C843" s="85"/>
      <c r="H843" s="29"/>
      <c r="M843" s="27"/>
    </row>
    <row r="844" spans="2:13" x14ac:dyDescent="0.2">
      <c r="B844" s="85"/>
      <c r="C844" s="85"/>
      <c r="H844" s="29"/>
      <c r="M844" s="27"/>
    </row>
    <row r="845" spans="2:13" x14ac:dyDescent="0.2">
      <c r="B845" s="85"/>
      <c r="C845" s="85"/>
      <c r="H845" s="29"/>
      <c r="M845" s="27"/>
    </row>
    <row r="846" spans="2:13" x14ac:dyDescent="0.2">
      <c r="B846" s="85"/>
      <c r="C846" s="85"/>
      <c r="H846" s="29"/>
      <c r="M846" s="27"/>
    </row>
    <row r="847" spans="2:13" x14ac:dyDescent="0.2">
      <c r="B847" s="85"/>
      <c r="C847" s="85"/>
      <c r="H847" s="29"/>
      <c r="M847" s="27"/>
    </row>
    <row r="848" spans="2:13" x14ac:dyDescent="0.2">
      <c r="B848" s="85"/>
      <c r="C848" s="85"/>
      <c r="H848" s="29"/>
      <c r="M848" s="27"/>
    </row>
    <row r="849" spans="2:13" x14ac:dyDescent="0.2">
      <c r="B849" s="85"/>
      <c r="C849" s="85"/>
      <c r="H849" s="29"/>
      <c r="M849" s="27"/>
    </row>
    <row r="850" spans="2:13" x14ac:dyDescent="0.2">
      <c r="B850" s="85"/>
      <c r="C850" s="85"/>
      <c r="H850" s="29"/>
      <c r="M850" s="27"/>
    </row>
    <row r="851" spans="2:13" x14ac:dyDescent="0.2">
      <c r="B851" s="85"/>
      <c r="C851" s="85"/>
      <c r="H851" s="29"/>
      <c r="M851" s="27"/>
    </row>
    <row r="852" spans="2:13" x14ac:dyDescent="0.2">
      <c r="B852" s="85"/>
      <c r="C852" s="85"/>
      <c r="H852" s="29"/>
      <c r="M852" s="27"/>
    </row>
    <row r="853" spans="2:13" x14ac:dyDescent="0.2">
      <c r="B853" s="85"/>
      <c r="C853" s="85"/>
      <c r="H853" s="29"/>
      <c r="M853" s="27"/>
    </row>
    <row r="854" spans="2:13" x14ac:dyDescent="0.2">
      <c r="B854" s="85"/>
      <c r="C854" s="85"/>
      <c r="H854" s="29"/>
      <c r="M854" s="27"/>
    </row>
    <row r="855" spans="2:13" x14ac:dyDescent="0.2">
      <c r="B855" s="85"/>
      <c r="C855" s="85"/>
      <c r="H855" s="29"/>
      <c r="M855" s="27"/>
    </row>
    <row r="856" spans="2:13" x14ac:dyDescent="0.2">
      <c r="B856" s="85"/>
      <c r="C856" s="85"/>
      <c r="H856" s="29"/>
      <c r="M856" s="27"/>
    </row>
    <row r="857" spans="2:13" x14ac:dyDescent="0.2">
      <c r="B857" s="85"/>
      <c r="C857" s="85"/>
      <c r="H857" s="29"/>
      <c r="M857" s="27"/>
    </row>
    <row r="858" spans="2:13" x14ac:dyDescent="0.2">
      <c r="B858" s="85"/>
      <c r="C858" s="85"/>
      <c r="H858" s="29"/>
      <c r="M858" s="27"/>
    </row>
    <row r="859" spans="2:13" x14ac:dyDescent="0.2">
      <c r="B859" s="85"/>
      <c r="C859" s="85"/>
      <c r="H859" s="29"/>
      <c r="M859" s="27"/>
    </row>
    <row r="860" spans="2:13" x14ac:dyDescent="0.2">
      <c r="B860" s="85"/>
      <c r="C860" s="85"/>
      <c r="H860" s="29"/>
      <c r="M860" s="27"/>
    </row>
    <row r="861" spans="2:13" x14ac:dyDescent="0.2">
      <c r="B861" s="85"/>
      <c r="C861" s="85"/>
      <c r="H861" s="29"/>
      <c r="M861" s="27"/>
    </row>
    <row r="862" spans="2:13" x14ac:dyDescent="0.2">
      <c r="B862" s="85"/>
      <c r="C862" s="85"/>
      <c r="H862" s="29"/>
      <c r="M862" s="27"/>
    </row>
    <row r="863" spans="2:13" x14ac:dyDescent="0.2">
      <c r="B863" s="85"/>
      <c r="C863" s="85"/>
      <c r="H863" s="29"/>
      <c r="M863" s="27"/>
    </row>
    <row r="864" spans="2:13" x14ac:dyDescent="0.2">
      <c r="B864" s="85"/>
      <c r="C864" s="85"/>
      <c r="H864" s="29"/>
      <c r="M864" s="27"/>
    </row>
    <row r="865" spans="2:13" x14ac:dyDescent="0.2">
      <c r="B865" s="85"/>
      <c r="C865" s="85"/>
      <c r="H865" s="29"/>
      <c r="M865" s="27"/>
    </row>
    <row r="866" spans="2:13" x14ac:dyDescent="0.2">
      <c r="B866" s="85"/>
      <c r="C866" s="85"/>
      <c r="H866" s="29"/>
      <c r="M866" s="27"/>
    </row>
    <row r="867" spans="2:13" x14ac:dyDescent="0.2">
      <c r="B867" s="85"/>
      <c r="C867" s="85"/>
      <c r="H867" s="29"/>
      <c r="M867" s="27"/>
    </row>
    <row r="868" spans="2:13" x14ac:dyDescent="0.2">
      <c r="B868" s="85"/>
      <c r="C868" s="85"/>
      <c r="H868" s="29"/>
      <c r="M868" s="27"/>
    </row>
    <row r="869" spans="2:13" x14ac:dyDescent="0.2">
      <c r="B869" s="85"/>
      <c r="C869" s="85"/>
      <c r="H869" s="29"/>
      <c r="M869" s="27"/>
    </row>
    <row r="870" spans="2:13" x14ac:dyDescent="0.2">
      <c r="B870" s="85"/>
      <c r="C870" s="85"/>
      <c r="H870" s="29"/>
      <c r="M870" s="27"/>
    </row>
    <row r="871" spans="2:13" x14ac:dyDescent="0.2">
      <c r="B871" s="85"/>
      <c r="C871" s="85"/>
      <c r="H871" s="29"/>
      <c r="M871" s="27"/>
    </row>
    <row r="872" spans="2:13" x14ac:dyDescent="0.2">
      <c r="B872" s="85"/>
      <c r="C872" s="85"/>
      <c r="H872" s="29"/>
      <c r="M872" s="27"/>
    </row>
    <row r="873" spans="2:13" x14ac:dyDescent="0.2">
      <c r="B873" s="85"/>
      <c r="C873" s="85"/>
      <c r="H873" s="29"/>
      <c r="M873" s="27"/>
    </row>
    <row r="874" spans="2:13" x14ac:dyDescent="0.2">
      <c r="B874" s="85"/>
      <c r="C874" s="85"/>
      <c r="H874" s="29"/>
      <c r="M874" s="27"/>
    </row>
    <row r="875" spans="2:13" x14ac:dyDescent="0.2">
      <c r="B875" s="85"/>
      <c r="C875" s="85"/>
      <c r="H875" s="29"/>
      <c r="M875" s="27"/>
    </row>
    <row r="876" spans="2:13" x14ac:dyDescent="0.2">
      <c r="B876" s="85"/>
      <c r="C876" s="85"/>
      <c r="H876" s="29"/>
      <c r="M876" s="27"/>
    </row>
    <row r="877" spans="2:13" x14ac:dyDescent="0.2">
      <c r="B877" s="85"/>
      <c r="C877" s="85"/>
      <c r="H877" s="29"/>
      <c r="M877" s="27"/>
    </row>
    <row r="878" spans="2:13" x14ac:dyDescent="0.2">
      <c r="B878" s="85"/>
      <c r="C878" s="85"/>
      <c r="H878" s="29"/>
      <c r="M878" s="27"/>
    </row>
    <row r="879" spans="2:13" x14ac:dyDescent="0.2">
      <c r="B879" s="85"/>
      <c r="C879" s="85"/>
      <c r="H879" s="29"/>
      <c r="M879" s="27"/>
    </row>
    <row r="880" spans="2:13" x14ac:dyDescent="0.2">
      <c r="B880" s="85"/>
      <c r="C880" s="85"/>
      <c r="H880" s="29"/>
      <c r="M880" s="27"/>
    </row>
    <row r="881" spans="2:13" x14ac:dyDescent="0.2">
      <c r="B881" s="85"/>
      <c r="C881" s="85"/>
      <c r="H881" s="29"/>
      <c r="M881" s="27"/>
    </row>
    <row r="882" spans="2:13" x14ac:dyDescent="0.2">
      <c r="B882" s="85"/>
      <c r="C882" s="85"/>
      <c r="H882" s="29"/>
      <c r="M882" s="27"/>
    </row>
    <row r="883" spans="2:13" x14ac:dyDescent="0.2">
      <c r="B883" s="85"/>
      <c r="C883" s="85"/>
      <c r="H883" s="29"/>
      <c r="M883" s="27"/>
    </row>
    <row r="884" spans="2:13" x14ac:dyDescent="0.2">
      <c r="B884" s="85"/>
      <c r="C884" s="85"/>
      <c r="H884" s="29"/>
      <c r="M884" s="27"/>
    </row>
    <row r="885" spans="2:13" x14ac:dyDescent="0.2">
      <c r="B885" s="85"/>
      <c r="C885" s="85"/>
      <c r="H885" s="29"/>
      <c r="M885" s="27"/>
    </row>
    <row r="886" spans="2:13" x14ac:dyDescent="0.2">
      <c r="B886" s="85"/>
      <c r="C886" s="85"/>
      <c r="H886" s="29"/>
      <c r="M886" s="27"/>
    </row>
    <row r="887" spans="2:13" x14ac:dyDescent="0.2">
      <c r="B887" s="85"/>
      <c r="C887" s="85"/>
      <c r="H887" s="29"/>
      <c r="M887" s="27"/>
    </row>
    <row r="888" spans="2:13" x14ac:dyDescent="0.2">
      <c r="B888" s="85"/>
      <c r="C888" s="85"/>
      <c r="H888" s="29"/>
      <c r="M888" s="27"/>
    </row>
    <row r="889" spans="2:13" x14ac:dyDescent="0.2">
      <c r="B889" s="85"/>
      <c r="C889" s="85"/>
      <c r="H889" s="29"/>
      <c r="M889" s="27"/>
    </row>
    <row r="890" spans="2:13" x14ac:dyDescent="0.2">
      <c r="B890" s="85"/>
      <c r="C890" s="85"/>
      <c r="H890" s="29"/>
      <c r="M890" s="27"/>
    </row>
    <row r="891" spans="2:13" x14ac:dyDescent="0.2">
      <c r="B891" s="85"/>
      <c r="C891" s="85"/>
      <c r="H891" s="29"/>
      <c r="M891" s="27"/>
    </row>
    <row r="892" spans="2:13" x14ac:dyDescent="0.2">
      <c r="B892" s="85"/>
      <c r="C892" s="85"/>
      <c r="H892" s="29"/>
      <c r="M892" s="27"/>
    </row>
    <row r="893" spans="2:13" x14ac:dyDescent="0.2">
      <c r="B893" s="85"/>
      <c r="C893" s="85"/>
      <c r="H893" s="29"/>
      <c r="M893" s="27"/>
    </row>
    <row r="894" spans="2:13" x14ac:dyDescent="0.2">
      <c r="B894" s="85"/>
      <c r="C894" s="85"/>
      <c r="H894" s="29"/>
      <c r="M894" s="27"/>
    </row>
    <row r="895" spans="2:13" x14ac:dyDescent="0.2">
      <c r="B895" s="85"/>
      <c r="C895" s="85"/>
      <c r="H895" s="29"/>
      <c r="M895" s="27"/>
    </row>
    <row r="896" spans="2:13" x14ac:dyDescent="0.2">
      <c r="B896" s="85"/>
      <c r="C896" s="85"/>
      <c r="H896" s="29"/>
      <c r="M896" s="27"/>
    </row>
    <row r="897" spans="2:13" x14ac:dyDescent="0.2">
      <c r="B897" s="85"/>
      <c r="C897" s="85"/>
      <c r="H897" s="29"/>
      <c r="M897" s="27"/>
    </row>
    <row r="898" spans="2:13" x14ac:dyDescent="0.2">
      <c r="B898" s="85"/>
      <c r="C898" s="85"/>
      <c r="H898" s="29"/>
      <c r="M898" s="27"/>
    </row>
    <row r="899" spans="2:13" x14ac:dyDescent="0.2">
      <c r="B899" s="85"/>
      <c r="C899" s="85"/>
      <c r="H899" s="29"/>
      <c r="M899" s="27"/>
    </row>
    <row r="900" spans="2:13" x14ac:dyDescent="0.2">
      <c r="B900" s="85"/>
      <c r="C900" s="85"/>
      <c r="H900" s="29"/>
      <c r="M900" s="27"/>
    </row>
    <row r="901" spans="2:13" x14ac:dyDescent="0.2">
      <c r="B901" s="85"/>
      <c r="C901" s="85"/>
      <c r="H901" s="29"/>
      <c r="M901" s="27"/>
    </row>
    <row r="902" spans="2:13" x14ac:dyDescent="0.2">
      <c r="B902" s="85"/>
      <c r="C902" s="85"/>
      <c r="H902" s="29"/>
      <c r="M902" s="27"/>
    </row>
    <row r="903" spans="2:13" x14ac:dyDescent="0.2">
      <c r="B903" s="85"/>
      <c r="C903" s="85"/>
      <c r="H903" s="29"/>
      <c r="M903" s="27"/>
    </row>
    <row r="904" spans="2:13" x14ac:dyDescent="0.2">
      <c r="B904" s="85"/>
      <c r="C904" s="85"/>
      <c r="H904" s="29"/>
      <c r="M904" s="27"/>
    </row>
    <row r="905" spans="2:13" x14ac:dyDescent="0.2">
      <c r="B905" s="85"/>
      <c r="C905" s="85"/>
      <c r="H905" s="29"/>
      <c r="M905" s="27"/>
    </row>
    <row r="906" spans="2:13" x14ac:dyDescent="0.2">
      <c r="B906" s="85"/>
      <c r="C906" s="85"/>
      <c r="H906" s="29"/>
      <c r="M906" s="27"/>
    </row>
    <row r="907" spans="2:13" x14ac:dyDescent="0.2">
      <c r="B907" s="85"/>
      <c r="C907" s="85"/>
      <c r="H907" s="29"/>
      <c r="M907" s="27"/>
    </row>
    <row r="908" spans="2:13" x14ac:dyDescent="0.2">
      <c r="B908" s="85"/>
      <c r="C908" s="85"/>
      <c r="H908" s="29"/>
      <c r="M908" s="27"/>
    </row>
    <row r="909" spans="2:13" x14ac:dyDescent="0.2">
      <c r="B909" s="85"/>
      <c r="C909" s="85"/>
      <c r="H909" s="29"/>
      <c r="M909" s="27"/>
    </row>
    <row r="910" spans="2:13" x14ac:dyDescent="0.2">
      <c r="B910" s="85"/>
      <c r="C910" s="85"/>
      <c r="H910" s="29"/>
      <c r="M910" s="27"/>
    </row>
    <row r="911" spans="2:13" x14ac:dyDescent="0.2">
      <c r="B911" s="85"/>
      <c r="C911" s="85"/>
      <c r="H911" s="29"/>
      <c r="M911" s="27"/>
    </row>
    <row r="912" spans="2:13" x14ac:dyDescent="0.2">
      <c r="B912" s="85"/>
      <c r="C912" s="85"/>
      <c r="H912" s="29"/>
      <c r="M912" s="27"/>
    </row>
    <row r="913" spans="2:13" x14ac:dyDescent="0.2">
      <c r="B913" s="85"/>
      <c r="C913" s="85"/>
      <c r="H913" s="29"/>
      <c r="M913" s="27"/>
    </row>
    <row r="914" spans="2:13" x14ac:dyDescent="0.2">
      <c r="B914" s="85"/>
      <c r="C914" s="85"/>
      <c r="H914" s="29"/>
      <c r="M914" s="27"/>
    </row>
    <row r="915" spans="2:13" x14ac:dyDescent="0.2">
      <c r="B915" s="85"/>
      <c r="C915" s="85"/>
      <c r="H915" s="29"/>
      <c r="M915" s="27"/>
    </row>
    <row r="916" spans="2:13" x14ac:dyDescent="0.2">
      <c r="B916" s="85"/>
      <c r="C916" s="85"/>
      <c r="H916" s="29"/>
      <c r="M916" s="27"/>
    </row>
    <row r="917" spans="2:13" x14ac:dyDescent="0.2">
      <c r="B917" s="85"/>
      <c r="C917" s="85"/>
      <c r="H917" s="29"/>
      <c r="M917" s="27"/>
    </row>
    <row r="918" spans="2:13" x14ac:dyDescent="0.2">
      <c r="B918" s="85"/>
      <c r="C918" s="85"/>
      <c r="H918" s="29"/>
      <c r="M918" s="27"/>
    </row>
    <row r="919" spans="2:13" x14ac:dyDescent="0.2">
      <c r="B919" s="85"/>
      <c r="C919" s="85"/>
      <c r="H919" s="29"/>
      <c r="M919" s="27"/>
    </row>
    <row r="920" spans="2:13" x14ac:dyDescent="0.2">
      <c r="B920" s="85"/>
      <c r="C920" s="85"/>
      <c r="H920" s="29"/>
      <c r="M920" s="27"/>
    </row>
    <row r="921" spans="2:13" x14ac:dyDescent="0.2">
      <c r="B921" s="85"/>
      <c r="C921" s="85"/>
      <c r="H921" s="29"/>
      <c r="M921" s="27"/>
    </row>
    <row r="922" spans="2:13" x14ac:dyDescent="0.2">
      <c r="B922" s="85"/>
      <c r="C922" s="85"/>
      <c r="H922" s="29"/>
      <c r="M922" s="27"/>
    </row>
    <row r="923" spans="2:13" x14ac:dyDescent="0.2">
      <c r="B923" s="85"/>
      <c r="C923" s="85"/>
      <c r="H923" s="29"/>
      <c r="M923" s="27"/>
    </row>
    <row r="924" spans="2:13" x14ac:dyDescent="0.2">
      <c r="B924" s="85"/>
      <c r="C924" s="85"/>
      <c r="H924" s="29"/>
      <c r="M924" s="27"/>
    </row>
    <row r="925" spans="2:13" x14ac:dyDescent="0.2">
      <c r="B925" s="85"/>
      <c r="C925" s="85"/>
      <c r="H925" s="29"/>
      <c r="M925" s="27"/>
    </row>
    <row r="926" spans="2:13" x14ac:dyDescent="0.2">
      <c r="B926" s="85"/>
      <c r="C926" s="85"/>
      <c r="H926" s="29"/>
      <c r="M926" s="27"/>
    </row>
    <row r="927" spans="2:13" x14ac:dyDescent="0.2">
      <c r="B927" s="85"/>
      <c r="C927" s="85"/>
      <c r="H927" s="29"/>
      <c r="M927" s="27"/>
    </row>
    <row r="928" spans="2:13" x14ac:dyDescent="0.2">
      <c r="B928" s="85"/>
      <c r="C928" s="85"/>
      <c r="H928" s="29"/>
      <c r="M928" s="27"/>
    </row>
    <row r="929" spans="2:13" x14ac:dyDescent="0.2">
      <c r="B929" s="85"/>
      <c r="C929" s="85"/>
      <c r="H929" s="29"/>
      <c r="M929" s="27"/>
    </row>
    <row r="930" spans="2:13" x14ac:dyDescent="0.2">
      <c r="B930" s="85"/>
      <c r="C930" s="85"/>
      <c r="H930" s="29"/>
      <c r="M930" s="27"/>
    </row>
    <row r="931" spans="2:13" x14ac:dyDescent="0.2">
      <c r="B931" s="85"/>
      <c r="C931" s="85"/>
      <c r="H931" s="29"/>
      <c r="M931" s="27"/>
    </row>
    <row r="932" spans="2:13" x14ac:dyDescent="0.2">
      <c r="B932" s="85"/>
      <c r="C932" s="85"/>
      <c r="H932" s="29"/>
      <c r="M932" s="27"/>
    </row>
    <row r="933" spans="2:13" x14ac:dyDescent="0.2">
      <c r="B933" s="85"/>
      <c r="C933" s="85"/>
      <c r="H933" s="29"/>
      <c r="M933" s="27"/>
    </row>
    <row r="934" spans="2:13" x14ac:dyDescent="0.2">
      <c r="B934" s="85"/>
      <c r="C934" s="85"/>
      <c r="H934" s="29"/>
      <c r="M934" s="27"/>
    </row>
    <row r="935" spans="2:13" x14ac:dyDescent="0.2">
      <c r="B935" s="85"/>
      <c r="C935" s="85"/>
      <c r="H935" s="29"/>
      <c r="M935" s="27"/>
    </row>
    <row r="936" spans="2:13" x14ac:dyDescent="0.2">
      <c r="B936" s="85"/>
      <c r="C936" s="85"/>
      <c r="H936" s="29"/>
      <c r="M936" s="27"/>
    </row>
    <row r="937" spans="2:13" x14ac:dyDescent="0.2">
      <c r="B937" s="85"/>
      <c r="C937" s="85"/>
      <c r="H937" s="29"/>
      <c r="M937" s="27"/>
    </row>
    <row r="938" spans="2:13" x14ac:dyDescent="0.2">
      <c r="B938" s="85"/>
      <c r="C938" s="85"/>
      <c r="H938" s="29"/>
      <c r="M938" s="27"/>
    </row>
    <row r="939" spans="2:13" x14ac:dyDescent="0.2">
      <c r="B939" s="85"/>
      <c r="C939" s="85"/>
      <c r="H939" s="29"/>
      <c r="M939" s="27"/>
    </row>
    <row r="940" spans="2:13" x14ac:dyDescent="0.2">
      <c r="B940" s="85"/>
      <c r="C940" s="85"/>
      <c r="H940" s="29"/>
      <c r="M940" s="27"/>
    </row>
    <row r="941" spans="2:13" x14ac:dyDescent="0.2">
      <c r="B941" s="85"/>
      <c r="C941" s="85"/>
      <c r="H941" s="29"/>
      <c r="M941" s="27"/>
    </row>
    <row r="942" spans="2:13" x14ac:dyDescent="0.2">
      <c r="B942" s="85"/>
      <c r="C942" s="85"/>
      <c r="H942" s="29"/>
      <c r="M942" s="27"/>
    </row>
    <row r="943" spans="2:13" x14ac:dyDescent="0.2">
      <c r="B943" s="85"/>
      <c r="C943" s="85"/>
      <c r="H943" s="29"/>
      <c r="M943" s="27"/>
    </row>
    <row r="944" spans="2:13" x14ac:dyDescent="0.2">
      <c r="B944" s="85"/>
      <c r="C944" s="85"/>
      <c r="H944" s="29"/>
      <c r="M944" s="27"/>
    </row>
    <row r="945" spans="2:13" x14ac:dyDescent="0.2">
      <c r="B945" s="85"/>
      <c r="C945" s="85"/>
      <c r="H945" s="29"/>
      <c r="M945" s="27"/>
    </row>
    <row r="946" spans="2:13" x14ac:dyDescent="0.2">
      <c r="B946" s="85"/>
      <c r="C946" s="85"/>
      <c r="H946" s="29"/>
      <c r="M946" s="27"/>
    </row>
    <row r="947" spans="2:13" x14ac:dyDescent="0.2">
      <c r="B947" s="85"/>
      <c r="C947" s="85"/>
      <c r="H947" s="29"/>
      <c r="M947" s="27"/>
    </row>
    <row r="948" spans="2:13" x14ac:dyDescent="0.2">
      <c r="B948" s="85"/>
      <c r="C948" s="85"/>
      <c r="H948" s="29"/>
      <c r="M948" s="27"/>
    </row>
    <row r="949" spans="2:13" x14ac:dyDescent="0.2">
      <c r="B949" s="85"/>
      <c r="C949" s="85"/>
      <c r="H949" s="29"/>
      <c r="M949" s="27"/>
    </row>
    <row r="950" spans="2:13" x14ac:dyDescent="0.2">
      <c r="B950" s="85"/>
      <c r="C950" s="85"/>
      <c r="H950" s="29"/>
      <c r="M950" s="27"/>
    </row>
    <row r="951" spans="2:13" x14ac:dyDescent="0.2">
      <c r="B951" s="85"/>
      <c r="C951" s="85"/>
      <c r="H951" s="29"/>
      <c r="M951" s="27"/>
    </row>
    <row r="952" spans="2:13" x14ac:dyDescent="0.2">
      <c r="B952" s="85"/>
      <c r="C952" s="85"/>
      <c r="H952" s="29"/>
      <c r="M952" s="27"/>
    </row>
    <row r="953" spans="2:13" x14ac:dyDescent="0.2">
      <c r="B953" s="85"/>
      <c r="C953" s="85"/>
      <c r="H953" s="29"/>
      <c r="M953" s="27"/>
    </row>
    <row r="954" spans="2:13" x14ac:dyDescent="0.2">
      <c r="B954" s="85"/>
      <c r="C954" s="85"/>
      <c r="H954" s="29"/>
      <c r="M954" s="27"/>
    </row>
    <row r="955" spans="2:13" x14ac:dyDescent="0.2">
      <c r="B955" s="85"/>
      <c r="C955" s="85"/>
      <c r="H955" s="29"/>
      <c r="M955" s="27"/>
    </row>
    <row r="956" spans="2:13" x14ac:dyDescent="0.2">
      <c r="B956" s="85"/>
      <c r="C956" s="85"/>
      <c r="H956" s="29"/>
      <c r="M956" s="27"/>
    </row>
    <row r="957" spans="2:13" x14ac:dyDescent="0.2">
      <c r="B957" s="85"/>
      <c r="C957" s="85"/>
      <c r="H957" s="29"/>
      <c r="M957" s="27"/>
    </row>
    <row r="958" spans="2:13" x14ac:dyDescent="0.2">
      <c r="B958" s="85"/>
      <c r="C958" s="85"/>
      <c r="H958" s="29"/>
      <c r="M958" s="27"/>
    </row>
    <row r="959" spans="2:13" x14ac:dyDescent="0.2">
      <c r="B959" s="85"/>
      <c r="C959" s="85"/>
      <c r="H959" s="29"/>
      <c r="M959" s="27"/>
    </row>
    <row r="960" spans="2:13" x14ac:dyDescent="0.2">
      <c r="B960" s="85"/>
      <c r="C960" s="85"/>
      <c r="H960" s="29"/>
      <c r="M960" s="27"/>
    </row>
    <row r="961" spans="2:13" x14ac:dyDescent="0.2">
      <c r="B961" s="85"/>
      <c r="C961" s="85"/>
      <c r="H961" s="29"/>
      <c r="M961" s="27"/>
    </row>
    <row r="962" spans="2:13" x14ac:dyDescent="0.2">
      <c r="B962" s="85"/>
      <c r="C962" s="85"/>
      <c r="H962" s="29"/>
      <c r="M962" s="27"/>
    </row>
    <row r="963" spans="2:13" x14ac:dyDescent="0.2">
      <c r="B963" s="85"/>
      <c r="C963" s="85"/>
      <c r="H963" s="29"/>
      <c r="M963" s="27"/>
    </row>
    <row r="964" spans="2:13" x14ac:dyDescent="0.2">
      <c r="B964" s="85"/>
      <c r="C964" s="85"/>
      <c r="H964" s="29"/>
      <c r="M964" s="27"/>
    </row>
    <row r="965" spans="2:13" x14ac:dyDescent="0.2">
      <c r="B965" s="85"/>
      <c r="C965" s="85"/>
      <c r="H965" s="29"/>
      <c r="M965" s="27"/>
    </row>
    <row r="966" spans="2:13" x14ac:dyDescent="0.2">
      <c r="B966" s="85"/>
      <c r="C966" s="85"/>
      <c r="H966" s="29"/>
      <c r="M966" s="27"/>
    </row>
    <row r="967" spans="2:13" x14ac:dyDescent="0.2">
      <c r="B967" s="85"/>
      <c r="C967" s="85"/>
      <c r="H967" s="29"/>
      <c r="M967" s="27"/>
    </row>
    <row r="968" spans="2:13" x14ac:dyDescent="0.2">
      <c r="B968" s="85"/>
      <c r="C968" s="85"/>
      <c r="H968" s="29"/>
      <c r="M968" s="27"/>
    </row>
    <row r="969" spans="2:13" x14ac:dyDescent="0.2">
      <c r="B969" s="85"/>
      <c r="C969" s="85"/>
      <c r="H969" s="29"/>
      <c r="M969" s="27"/>
    </row>
    <row r="970" spans="2:13" x14ac:dyDescent="0.2">
      <c r="B970" s="85"/>
      <c r="C970" s="85"/>
      <c r="H970" s="29"/>
      <c r="M970" s="27"/>
    </row>
    <row r="971" spans="2:13" x14ac:dyDescent="0.2">
      <c r="B971" s="85"/>
      <c r="C971" s="85"/>
      <c r="H971" s="29"/>
      <c r="M971" s="27"/>
    </row>
    <row r="972" spans="2:13" x14ac:dyDescent="0.2">
      <c r="B972" s="85"/>
      <c r="C972" s="85"/>
      <c r="H972" s="29"/>
      <c r="M972" s="27"/>
    </row>
    <row r="973" spans="2:13" x14ac:dyDescent="0.2">
      <c r="B973" s="85"/>
      <c r="C973" s="85"/>
      <c r="H973" s="29"/>
      <c r="M973" s="27"/>
    </row>
    <row r="974" spans="2:13" x14ac:dyDescent="0.2">
      <c r="B974" s="85"/>
      <c r="C974" s="85"/>
      <c r="H974" s="29"/>
      <c r="M974" s="27"/>
    </row>
    <row r="975" spans="2:13" x14ac:dyDescent="0.2">
      <c r="B975" s="85"/>
      <c r="C975" s="85"/>
      <c r="H975" s="29"/>
      <c r="M975" s="27"/>
    </row>
    <row r="976" spans="2:13" x14ac:dyDescent="0.2">
      <c r="B976" s="85"/>
      <c r="C976" s="85"/>
      <c r="H976" s="29"/>
      <c r="M976" s="27"/>
    </row>
    <row r="977" spans="2:13" x14ac:dyDescent="0.2">
      <c r="B977" s="85"/>
      <c r="C977" s="85"/>
      <c r="H977" s="29"/>
      <c r="M977" s="27"/>
    </row>
    <row r="978" spans="2:13" x14ac:dyDescent="0.2">
      <c r="B978" s="85"/>
      <c r="C978" s="85"/>
      <c r="H978" s="29"/>
      <c r="M978" s="27"/>
    </row>
    <row r="979" spans="2:13" x14ac:dyDescent="0.2">
      <c r="B979" s="85"/>
      <c r="C979" s="85"/>
      <c r="H979" s="29"/>
      <c r="M979" s="27"/>
    </row>
    <row r="980" spans="2:13" x14ac:dyDescent="0.2">
      <c r="B980" s="85"/>
      <c r="C980" s="85"/>
      <c r="H980" s="29"/>
      <c r="M980" s="27"/>
    </row>
    <row r="981" spans="2:13" x14ac:dyDescent="0.2">
      <c r="B981" s="85"/>
      <c r="C981" s="85"/>
      <c r="H981" s="29"/>
      <c r="M981" s="27"/>
    </row>
    <row r="982" spans="2:13" x14ac:dyDescent="0.2">
      <c r="B982" s="85"/>
      <c r="C982" s="85"/>
      <c r="H982" s="29"/>
      <c r="M982" s="27"/>
    </row>
    <row r="983" spans="2:13" x14ac:dyDescent="0.2">
      <c r="B983" s="85"/>
      <c r="C983" s="85"/>
      <c r="H983" s="29"/>
      <c r="M983" s="27"/>
    </row>
    <row r="984" spans="2:13" x14ac:dyDescent="0.2">
      <c r="B984" s="85"/>
      <c r="C984" s="85"/>
      <c r="H984" s="29"/>
      <c r="M984" s="27"/>
    </row>
    <row r="985" spans="2:13" x14ac:dyDescent="0.2">
      <c r="B985" s="85"/>
      <c r="C985" s="85"/>
      <c r="H985" s="29"/>
      <c r="M985" s="27"/>
    </row>
    <row r="986" spans="2:13" x14ac:dyDescent="0.2">
      <c r="B986" s="85"/>
      <c r="C986" s="85"/>
      <c r="H986" s="29"/>
      <c r="M986" s="27"/>
    </row>
    <row r="987" spans="2:13" x14ac:dyDescent="0.2">
      <c r="B987" s="85"/>
      <c r="C987" s="85"/>
      <c r="H987" s="29"/>
      <c r="M987" s="27"/>
    </row>
    <row r="988" spans="2:13" x14ac:dyDescent="0.2">
      <c r="B988" s="85"/>
      <c r="C988" s="85"/>
      <c r="H988" s="29"/>
      <c r="M988" s="27"/>
    </row>
    <row r="989" spans="2:13" x14ac:dyDescent="0.2">
      <c r="B989" s="85"/>
      <c r="C989" s="85"/>
      <c r="H989" s="29"/>
      <c r="M989" s="27"/>
    </row>
    <row r="990" spans="2:13" x14ac:dyDescent="0.2">
      <c r="B990" s="85"/>
      <c r="C990" s="85"/>
      <c r="H990" s="29"/>
      <c r="M990" s="27"/>
    </row>
    <row r="991" spans="2:13" x14ac:dyDescent="0.2">
      <c r="B991" s="85"/>
      <c r="C991" s="85"/>
      <c r="H991" s="29"/>
      <c r="M991" s="27"/>
    </row>
    <row r="992" spans="2:13" x14ac:dyDescent="0.2">
      <c r="B992" s="85"/>
      <c r="C992" s="85"/>
      <c r="H992" s="29"/>
      <c r="M992" s="27"/>
    </row>
    <row r="993" spans="2:13" x14ac:dyDescent="0.2">
      <c r="B993" s="85"/>
      <c r="C993" s="85"/>
      <c r="H993" s="29"/>
      <c r="M993" s="27"/>
    </row>
    <row r="994" spans="2:13" x14ac:dyDescent="0.2">
      <c r="B994" s="85"/>
      <c r="C994" s="85"/>
      <c r="H994" s="29"/>
      <c r="M994" s="27"/>
    </row>
    <row r="995" spans="2:13" x14ac:dyDescent="0.2">
      <c r="B995" s="85"/>
      <c r="C995" s="85"/>
      <c r="H995" s="29"/>
      <c r="M995" s="27"/>
    </row>
    <row r="996" spans="2:13" x14ac:dyDescent="0.2">
      <c r="B996" s="85"/>
      <c r="C996" s="85"/>
      <c r="H996" s="29"/>
      <c r="M996" s="27"/>
    </row>
    <row r="997" spans="2:13" x14ac:dyDescent="0.2">
      <c r="B997" s="85"/>
      <c r="C997" s="85"/>
      <c r="H997" s="29"/>
      <c r="M997" s="27"/>
    </row>
    <row r="998" spans="2:13" x14ac:dyDescent="0.2">
      <c r="B998" s="85"/>
      <c r="C998" s="85"/>
      <c r="H998" s="29"/>
      <c r="M998" s="27"/>
    </row>
    <row r="999" spans="2:13" x14ac:dyDescent="0.2">
      <c r="B999" s="85"/>
      <c r="C999" s="85"/>
      <c r="H999" s="29"/>
      <c r="M999" s="27"/>
    </row>
    <row r="1000" spans="2:13" x14ac:dyDescent="0.2">
      <c r="B1000" s="85"/>
      <c r="C1000" s="85"/>
      <c r="H1000" s="29"/>
      <c r="M1000" s="27"/>
    </row>
    <row r="1001" spans="2:13" x14ac:dyDescent="0.2">
      <c r="B1001" s="85"/>
      <c r="C1001" s="85"/>
      <c r="H1001" s="29"/>
      <c r="M1001" s="27"/>
    </row>
    <row r="1002" spans="2:13" x14ac:dyDescent="0.2">
      <c r="B1002" s="85"/>
      <c r="C1002" s="85"/>
      <c r="H1002" s="29"/>
      <c r="M1002" s="27"/>
    </row>
    <row r="1003" spans="2:13" x14ac:dyDescent="0.2">
      <c r="B1003" s="85"/>
      <c r="C1003" s="85"/>
      <c r="H1003" s="29"/>
      <c r="M1003" s="27"/>
    </row>
    <row r="1004" spans="2:13" x14ac:dyDescent="0.2">
      <c r="B1004" s="85"/>
      <c r="C1004" s="85"/>
      <c r="H1004" s="29"/>
      <c r="M1004" s="27"/>
    </row>
    <row r="1005" spans="2:13" x14ac:dyDescent="0.2">
      <c r="B1005" s="85"/>
      <c r="C1005" s="85"/>
      <c r="H1005" s="29"/>
      <c r="M1005" s="27"/>
    </row>
    <row r="1006" spans="2:13" x14ac:dyDescent="0.2">
      <c r="B1006" s="85"/>
      <c r="C1006" s="85"/>
      <c r="H1006" s="29"/>
      <c r="M1006" s="27"/>
    </row>
    <row r="1007" spans="2:13" x14ac:dyDescent="0.2">
      <c r="B1007" s="85"/>
      <c r="C1007" s="85"/>
      <c r="H1007" s="29"/>
      <c r="M1007" s="27"/>
    </row>
    <row r="1008" spans="2:13" x14ac:dyDescent="0.2">
      <c r="B1008" s="85"/>
      <c r="C1008" s="85"/>
      <c r="H1008" s="29"/>
      <c r="M1008" s="27"/>
    </row>
    <row r="1009" spans="2:13" x14ac:dyDescent="0.2">
      <c r="B1009" s="85"/>
      <c r="C1009" s="85"/>
      <c r="H1009" s="29"/>
      <c r="M1009" s="27"/>
    </row>
    <row r="1010" spans="2:13" x14ac:dyDescent="0.2">
      <c r="B1010" s="85"/>
      <c r="C1010" s="85"/>
      <c r="H1010" s="29"/>
      <c r="M1010" s="27"/>
    </row>
    <row r="1011" spans="2:13" x14ac:dyDescent="0.2">
      <c r="B1011" s="85"/>
      <c r="C1011" s="85"/>
      <c r="H1011" s="29"/>
      <c r="M1011" s="27"/>
    </row>
    <row r="1012" spans="2:13" x14ac:dyDescent="0.2">
      <c r="B1012" s="85"/>
      <c r="C1012" s="85"/>
      <c r="H1012" s="29"/>
      <c r="M1012" s="27"/>
    </row>
    <row r="1013" spans="2:13" x14ac:dyDescent="0.2">
      <c r="B1013" s="85"/>
      <c r="C1013" s="85"/>
      <c r="H1013" s="29"/>
      <c r="M1013" s="27"/>
    </row>
    <row r="1014" spans="2:13" x14ac:dyDescent="0.2">
      <c r="B1014" s="85"/>
      <c r="C1014" s="85"/>
      <c r="H1014" s="29"/>
      <c r="M1014" s="27"/>
    </row>
    <row r="1015" spans="2:13" x14ac:dyDescent="0.2">
      <c r="B1015" s="85"/>
      <c r="C1015" s="85"/>
      <c r="H1015" s="29"/>
      <c r="M1015" s="27"/>
    </row>
    <row r="1016" spans="2:13" x14ac:dyDescent="0.2">
      <c r="B1016" s="85"/>
      <c r="C1016" s="85"/>
      <c r="H1016" s="29"/>
      <c r="M1016" s="27"/>
    </row>
    <row r="1017" spans="2:13" x14ac:dyDescent="0.2">
      <c r="B1017" s="85"/>
      <c r="C1017" s="85"/>
      <c r="H1017" s="29"/>
      <c r="M1017" s="27"/>
    </row>
    <row r="1018" spans="2:13" x14ac:dyDescent="0.2">
      <c r="B1018" s="85"/>
      <c r="C1018" s="85"/>
      <c r="H1018" s="29"/>
      <c r="M1018" s="27"/>
    </row>
    <row r="1019" spans="2:13" x14ac:dyDescent="0.2">
      <c r="B1019" s="85"/>
      <c r="C1019" s="85"/>
      <c r="H1019" s="29"/>
      <c r="M1019" s="27"/>
    </row>
    <row r="1020" spans="2:13" x14ac:dyDescent="0.2">
      <c r="B1020" s="85"/>
      <c r="C1020" s="85"/>
      <c r="H1020" s="29"/>
      <c r="M1020" s="27"/>
    </row>
    <row r="1021" spans="2:13" x14ac:dyDescent="0.2">
      <c r="B1021" s="85"/>
      <c r="C1021" s="85"/>
      <c r="H1021" s="29"/>
      <c r="M1021" s="27"/>
    </row>
    <row r="1022" spans="2:13" x14ac:dyDescent="0.2">
      <c r="B1022" s="85"/>
      <c r="C1022" s="85"/>
      <c r="H1022" s="29"/>
      <c r="M1022" s="27"/>
    </row>
    <row r="1023" spans="2:13" x14ac:dyDescent="0.2">
      <c r="B1023" s="85"/>
      <c r="C1023" s="85"/>
      <c r="H1023" s="29"/>
      <c r="M1023" s="27"/>
    </row>
    <row r="1024" spans="2:13" x14ac:dyDescent="0.2">
      <c r="B1024" s="85"/>
      <c r="C1024" s="85"/>
      <c r="H1024" s="29"/>
      <c r="M1024" s="27"/>
    </row>
    <row r="1025" spans="2:13" x14ac:dyDescent="0.2">
      <c r="B1025" s="85"/>
      <c r="C1025" s="85"/>
      <c r="H1025" s="29"/>
      <c r="M1025" s="27"/>
    </row>
    <row r="1026" spans="2:13" x14ac:dyDescent="0.2">
      <c r="B1026" s="85"/>
      <c r="C1026" s="85"/>
      <c r="H1026" s="29"/>
      <c r="M1026" s="27"/>
    </row>
    <row r="1027" spans="2:13" x14ac:dyDescent="0.2">
      <c r="B1027" s="85"/>
      <c r="C1027" s="85"/>
      <c r="H1027" s="29"/>
      <c r="M1027" s="27"/>
    </row>
    <row r="1028" spans="2:13" x14ac:dyDescent="0.2">
      <c r="B1028" s="85"/>
      <c r="C1028" s="85"/>
      <c r="H1028" s="29"/>
      <c r="M1028" s="27"/>
    </row>
    <row r="1029" spans="2:13" x14ac:dyDescent="0.2">
      <c r="B1029" s="85"/>
      <c r="C1029" s="85"/>
      <c r="H1029" s="29"/>
      <c r="M1029" s="27"/>
    </row>
    <row r="1030" spans="2:13" x14ac:dyDescent="0.2">
      <c r="B1030" s="85"/>
      <c r="C1030" s="85"/>
      <c r="H1030" s="29"/>
      <c r="M1030" s="27"/>
    </row>
    <row r="1031" spans="2:13" x14ac:dyDescent="0.2">
      <c r="B1031" s="85"/>
      <c r="C1031" s="85"/>
      <c r="H1031" s="29"/>
      <c r="M1031" s="27"/>
    </row>
    <row r="1032" spans="2:13" x14ac:dyDescent="0.2">
      <c r="B1032" s="85"/>
      <c r="C1032" s="85"/>
      <c r="H1032" s="29"/>
      <c r="M1032" s="27"/>
    </row>
    <row r="1033" spans="2:13" x14ac:dyDescent="0.2">
      <c r="B1033" s="85"/>
      <c r="C1033" s="85"/>
      <c r="H1033" s="29"/>
      <c r="M1033" s="27"/>
    </row>
    <row r="1034" spans="2:13" x14ac:dyDescent="0.2">
      <c r="B1034" s="85"/>
      <c r="C1034" s="85"/>
      <c r="H1034" s="29"/>
      <c r="M1034" s="27"/>
    </row>
    <row r="1035" spans="2:13" x14ac:dyDescent="0.2">
      <c r="B1035" s="85"/>
      <c r="C1035" s="85"/>
      <c r="H1035" s="29"/>
      <c r="M1035" s="27"/>
    </row>
    <row r="1036" spans="2:13" x14ac:dyDescent="0.2">
      <c r="B1036" s="85"/>
      <c r="C1036" s="85"/>
      <c r="H1036" s="29"/>
      <c r="M1036" s="27"/>
    </row>
    <row r="1037" spans="2:13" x14ac:dyDescent="0.2">
      <c r="B1037" s="85"/>
      <c r="C1037" s="85"/>
      <c r="H1037" s="29"/>
      <c r="M1037" s="27"/>
    </row>
    <row r="1038" spans="2:13" x14ac:dyDescent="0.2">
      <c r="B1038" s="85"/>
      <c r="C1038" s="85"/>
      <c r="H1038" s="29"/>
      <c r="M1038" s="27"/>
    </row>
    <row r="1039" spans="2:13" x14ac:dyDescent="0.2">
      <c r="B1039" s="85"/>
      <c r="C1039" s="85"/>
      <c r="H1039" s="29"/>
      <c r="M1039" s="27"/>
    </row>
    <row r="1040" spans="2:13" x14ac:dyDescent="0.2">
      <c r="B1040" s="85"/>
      <c r="C1040" s="85"/>
      <c r="H1040" s="29"/>
      <c r="M1040" s="27"/>
    </row>
    <row r="1041" spans="2:13" x14ac:dyDescent="0.2">
      <c r="B1041" s="85"/>
      <c r="C1041" s="85"/>
      <c r="H1041" s="29"/>
      <c r="M1041" s="27"/>
    </row>
    <row r="1042" spans="2:13" x14ac:dyDescent="0.2">
      <c r="B1042" s="85"/>
      <c r="C1042" s="85"/>
      <c r="H1042" s="29"/>
      <c r="M1042" s="27"/>
    </row>
    <row r="1043" spans="2:13" x14ac:dyDescent="0.2">
      <c r="B1043" s="85"/>
      <c r="C1043" s="85"/>
      <c r="H1043" s="29"/>
      <c r="M1043" s="27"/>
    </row>
    <row r="1044" spans="2:13" x14ac:dyDescent="0.2">
      <c r="B1044" s="85"/>
      <c r="C1044" s="85"/>
      <c r="H1044" s="29"/>
      <c r="M1044" s="27"/>
    </row>
    <row r="1045" spans="2:13" x14ac:dyDescent="0.2">
      <c r="B1045" s="85"/>
      <c r="C1045" s="85"/>
      <c r="H1045" s="29"/>
      <c r="M1045" s="27"/>
    </row>
    <row r="1046" spans="2:13" x14ac:dyDescent="0.2">
      <c r="B1046" s="85"/>
      <c r="C1046" s="85"/>
      <c r="H1046" s="29"/>
      <c r="M1046" s="27"/>
    </row>
    <row r="1047" spans="2:13" x14ac:dyDescent="0.2">
      <c r="B1047" s="85"/>
      <c r="C1047" s="85"/>
      <c r="H1047" s="29"/>
      <c r="M1047" s="27"/>
    </row>
    <row r="1048" spans="2:13" x14ac:dyDescent="0.2">
      <c r="B1048" s="85"/>
      <c r="C1048" s="85"/>
      <c r="H1048" s="29"/>
      <c r="M1048" s="27"/>
    </row>
    <row r="1049" spans="2:13" x14ac:dyDescent="0.2">
      <c r="B1049" s="85"/>
      <c r="C1049" s="85"/>
      <c r="H1049" s="29"/>
      <c r="M1049" s="27"/>
    </row>
    <row r="1050" spans="2:13" x14ac:dyDescent="0.2">
      <c r="B1050" s="85"/>
      <c r="C1050" s="85"/>
      <c r="H1050" s="29"/>
      <c r="M1050" s="27"/>
    </row>
    <row r="1051" spans="2:13" x14ac:dyDescent="0.2">
      <c r="B1051" s="85"/>
      <c r="C1051" s="85"/>
      <c r="H1051" s="29"/>
      <c r="M1051" s="27"/>
    </row>
    <row r="1052" spans="2:13" x14ac:dyDescent="0.2">
      <c r="B1052" s="85"/>
      <c r="C1052" s="85"/>
      <c r="H1052" s="29"/>
      <c r="M1052" s="27"/>
    </row>
    <row r="1053" spans="2:13" x14ac:dyDescent="0.2">
      <c r="B1053" s="85"/>
      <c r="C1053" s="85"/>
      <c r="H1053" s="29"/>
      <c r="M1053" s="27"/>
    </row>
    <row r="1054" spans="2:13" x14ac:dyDescent="0.2">
      <c r="B1054" s="85"/>
      <c r="C1054" s="85"/>
      <c r="H1054" s="29"/>
      <c r="M1054" s="27"/>
    </row>
    <row r="1055" spans="2:13" x14ac:dyDescent="0.2">
      <c r="B1055" s="85"/>
      <c r="C1055" s="85"/>
      <c r="H1055" s="29"/>
      <c r="M1055" s="27"/>
    </row>
    <row r="1056" spans="2:13" x14ac:dyDescent="0.2">
      <c r="B1056" s="85"/>
      <c r="C1056" s="85"/>
      <c r="H1056" s="29"/>
      <c r="M1056" s="27"/>
    </row>
    <row r="1057" spans="2:13" x14ac:dyDescent="0.2">
      <c r="B1057" s="85"/>
      <c r="C1057" s="85"/>
      <c r="H1057" s="29"/>
      <c r="M1057" s="27"/>
    </row>
    <row r="1058" spans="2:13" x14ac:dyDescent="0.2">
      <c r="B1058" s="85"/>
      <c r="C1058" s="85"/>
      <c r="H1058" s="29"/>
      <c r="M1058" s="27"/>
    </row>
    <row r="1059" spans="2:13" x14ac:dyDescent="0.2">
      <c r="B1059" s="85"/>
      <c r="C1059" s="85"/>
      <c r="H1059" s="29"/>
      <c r="M1059" s="27"/>
    </row>
    <row r="1060" spans="2:13" x14ac:dyDescent="0.2">
      <c r="B1060" s="85"/>
      <c r="C1060" s="85"/>
      <c r="H1060" s="29"/>
      <c r="M1060" s="27"/>
    </row>
    <row r="1061" spans="2:13" x14ac:dyDescent="0.2">
      <c r="B1061" s="85"/>
      <c r="C1061" s="85"/>
      <c r="H1061" s="29"/>
      <c r="M1061" s="27"/>
    </row>
    <row r="1062" spans="2:13" x14ac:dyDescent="0.2">
      <c r="B1062" s="85"/>
      <c r="C1062" s="85"/>
      <c r="H1062" s="29"/>
      <c r="M1062" s="27"/>
    </row>
    <row r="1063" spans="2:13" x14ac:dyDescent="0.2">
      <c r="B1063" s="85"/>
      <c r="C1063" s="85"/>
      <c r="H1063" s="29"/>
      <c r="M1063" s="27"/>
    </row>
    <row r="1064" spans="2:13" x14ac:dyDescent="0.2">
      <c r="B1064" s="85"/>
      <c r="C1064" s="85"/>
      <c r="H1064" s="29"/>
      <c r="M1064" s="27"/>
    </row>
    <row r="1065" spans="2:13" x14ac:dyDescent="0.2">
      <c r="B1065" s="85"/>
      <c r="C1065" s="85"/>
      <c r="H1065" s="29"/>
      <c r="M1065" s="27"/>
    </row>
    <row r="1066" spans="2:13" x14ac:dyDescent="0.2">
      <c r="B1066" s="85"/>
      <c r="C1066" s="85"/>
      <c r="H1066" s="29"/>
      <c r="M1066" s="27"/>
    </row>
    <row r="1067" spans="2:13" x14ac:dyDescent="0.2">
      <c r="B1067" s="85"/>
      <c r="C1067" s="85"/>
      <c r="H1067" s="29"/>
      <c r="M1067" s="27"/>
    </row>
    <row r="1068" spans="2:13" x14ac:dyDescent="0.2">
      <c r="B1068" s="85"/>
      <c r="C1068" s="85"/>
      <c r="H1068" s="29"/>
      <c r="M1068" s="27"/>
    </row>
    <row r="1069" spans="2:13" x14ac:dyDescent="0.2">
      <c r="B1069" s="85"/>
      <c r="C1069" s="85"/>
      <c r="H1069" s="29"/>
      <c r="M1069" s="27"/>
    </row>
    <row r="1070" spans="2:13" x14ac:dyDescent="0.2">
      <c r="B1070" s="85"/>
      <c r="C1070" s="85"/>
      <c r="H1070" s="29"/>
      <c r="M1070" s="27"/>
    </row>
    <row r="1071" spans="2:13" x14ac:dyDescent="0.2">
      <c r="B1071" s="85"/>
      <c r="C1071" s="85"/>
      <c r="H1071" s="29"/>
      <c r="M1071" s="27"/>
    </row>
    <row r="1072" spans="2:13" x14ac:dyDescent="0.2">
      <c r="B1072" s="85"/>
      <c r="C1072" s="85"/>
      <c r="H1072" s="29"/>
      <c r="M1072" s="27"/>
    </row>
    <row r="1073" spans="2:13" x14ac:dyDescent="0.2">
      <c r="B1073" s="85"/>
      <c r="C1073" s="85"/>
      <c r="H1073" s="29"/>
      <c r="M1073" s="27"/>
    </row>
    <row r="1074" spans="2:13" x14ac:dyDescent="0.2">
      <c r="B1074" s="85"/>
      <c r="C1074" s="85"/>
      <c r="H1074" s="29"/>
      <c r="M1074" s="27"/>
    </row>
    <row r="1075" spans="2:13" x14ac:dyDescent="0.2">
      <c r="B1075" s="85"/>
      <c r="C1075" s="85"/>
      <c r="H1075" s="29"/>
      <c r="M1075" s="27"/>
    </row>
    <row r="1076" spans="2:13" x14ac:dyDescent="0.2">
      <c r="B1076" s="85"/>
      <c r="C1076" s="85"/>
      <c r="H1076" s="29"/>
      <c r="M1076" s="27"/>
    </row>
    <row r="1077" spans="2:13" x14ac:dyDescent="0.2">
      <c r="B1077" s="85"/>
      <c r="C1077" s="85"/>
      <c r="H1077" s="29"/>
      <c r="M1077" s="27"/>
    </row>
    <row r="1078" spans="2:13" x14ac:dyDescent="0.2">
      <c r="B1078" s="85"/>
      <c r="C1078" s="85"/>
      <c r="H1078" s="29"/>
      <c r="M1078" s="27"/>
    </row>
    <row r="1079" spans="2:13" x14ac:dyDescent="0.2">
      <c r="B1079" s="85"/>
      <c r="C1079" s="85"/>
      <c r="H1079" s="29"/>
      <c r="M1079" s="27"/>
    </row>
    <row r="1080" spans="2:13" x14ac:dyDescent="0.2">
      <c r="B1080" s="85"/>
      <c r="C1080" s="85"/>
      <c r="H1080" s="29"/>
      <c r="M1080" s="27"/>
    </row>
    <row r="1081" spans="2:13" x14ac:dyDescent="0.2">
      <c r="B1081" s="85"/>
      <c r="C1081" s="85"/>
      <c r="H1081" s="29"/>
      <c r="M1081" s="27"/>
    </row>
    <row r="1082" spans="2:13" x14ac:dyDescent="0.2">
      <c r="B1082" s="85"/>
      <c r="C1082" s="85"/>
      <c r="H1082" s="29"/>
      <c r="M1082" s="27"/>
    </row>
    <row r="1083" spans="2:13" x14ac:dyDescent="0.2">
      <c r="B1083" s="85"/>
      <c r="C1083" s="85"/>
      <c r="H1083" s="29"/>
      <c r="M1083" s="27"/>
    </row>
    <row r="1084" spans="2:13" x14ac:dyDescent="0.2">
      <c r="B1084" s="85"/>
      <c r="C1084" s="85"/>
      <c r="H1084" s="29"/>
      <c r="M1084" s="27"/>
    </row>
    <row r="1085" spans="2:13" x14ac:dyDescent="0.2">
      <c r="B1085" s="85"/>
      <c r="C1085" s="85"/>
      <c r="H1085" s="29"/>
      <c r="M1085" s="27"/>
    </row>
    <row r="1086" spans="2:13" x14ac:dyDescent="0.2">
      <c r="B1086" s="85"/>
      <c r="C1086" s="85"/>
      <c r="H1086" s="29"/>
      <c r="M1086" s="27"/>
    </row>
    <row r="1087" spans="2:13" x14ac:dyDescent="0.2">
      <c r="B1087" s="85"/>
      <c r="C1087" s="85"/>
      <c r="H1087" s="29"/>
      <c r="M1087" s="27"/>
    </row>
    <row r="1088" spans="2:13" x14ac:dyDescent="0.2">
      <c r="B1088" s="85"/>
      <c r="C1088" s="85"/>
      <c r="H1088" s="29"/>
      <c r="M1088" s="27"/>
    </row>
    <row r="1089" spans="2:13" x14ac:dyDescent="0.2">
      <c r="B1089" s="85"/>
      <c r="C1089" s="85"/>
      <c r="H1089" s="29"/>
      <c r="M1089" s="27"/>
    </row>
    <row r="1090" spans="2:13" x14ac:dyDescent="0.2">
      <c r="B1090" s="85"/>
      <c r="C1090" s="85"/>
      <c r="H1090" s="29"/>
      <c r="M1090" s="27"/>
    </row>
    <row r="1091" spans="2:13" x14ac:dyDescent="0.2">
      <c r="B1091" s="85"/>
      <c r="C1091" s="85"/>
      <c r="H1091" s="29"/>
      <c r="M1091" s="27"/>
    </row>
    <row r="1092" spans="2:13" x14ac:dyDescent="0.2">
      <c r="B1092" s="85"/>
      <c r="C1092" s="85"/>
      <c r="H1092" s="29"/>
      <c r="M1092" s="27"/>
    </row>
    <row r="1093" spans="2:13" x14ac:dyDescent="0.2">
      <c r="B1093" s="85"/>
      <c r="C1093" s="85"/>
      <c r="H1093" s="29"/>
      <c r="M1093" s="27"/>
    </row>
    <row r="1094" spans="2:13" x14ac:dyDescent="0.2">
      <c r="B1094" s="85"/>
      <c r="C1094" s="85"/>
      <c r="H1094" s="29"/>
      <c r="M1094" s="27"/>
    </row>
    <row r="1095" spans="2:13" x14ac:dyDescent="0.2">
      <c r="B1095" s="85"/>
      <c r="C1095" s="85"/>
      <c r="H1095" s="29"/>
      <c r="M1095" s="27"/>
    </row>
    <row r="1096" spans="2:13" x14ac:dyDescent="0.2">
      <c r="B1096" s="85"/>
      <c r="C1096" s="85"/>
      <c r="H1096" s="29"/>
      <c r="M1096" s="27"/>
    </row>
    <row r="1097" spans="2:13" x14ac:dyDescent="0.2">
      <c r="B1097" s="85"/>
      <c r="C1097" s="85"/>
      <c r="H1097" s="29"/>
      <c r="M1097" s="27"/>
    </row>
    <row r="1098" spans="2:13" x14ac:dyDescent="0.2">
      <c r="B1098" s="85"/>
      <c r="C1098" s="85"/>
      <c r="H1098" s="29"/>
      <c r="M1098" s="27"/>
    </row>
    <row r="1099" spans="2:13" x14ac:dyDescent="0.2">
      <c r="B1099" s="85"/>
      <c r="C1099" s="85"/>
      <c r="H1099" s="29"/>
      <c r="M1099" s="27"/>
    </row>
    <row r="1100" spans="2:13" x14ac:dyDescent="0.2">
      <c r="B1100" s="85"/>
      <c r="C1100" s="85"/>
      <c r="H1100" s="29"/>
      <c r="M1100" s="27"/>
    </row>
    <row r="1101" spans="2:13" x14ac:dyDescent="0.2">
      <c r="B1101" s="85"/>
      <c r="C1101" s="85"/>
      <c r="H1101" s="29"/>
      <c r="M1101" s="27"/>
    </row>
    <row r="1102" spans="2:13" x14ac:dyDescent="0.2">
      <c r="B1102" s="85"/>
      <c r="C1102" s="85"/>
      <c r="H1102" s="29"/>
      <c r="M1102" s="27"/>
    </row>
    <row r="1103" spans="2:13" x14ac:dyDescent="0.2">
      <c r="B1103" s="85"/>
      <c r="C1103" s="85"/>
      <c r="H1103" s="29"/>
      <c r="M1103" s="27"/>
    </row>
    <row r="1104" spans="2:13" x14ac:dyDescent="0.2">
      <c r="B1104" s="85"/>
      <c r="C1104" s="85"/>
      <c r="H1104" s="29"/>
      <c r="M1104" s="27"/>
    </row>
    <row r="1105" spans="2:13" x14ac:dyDescent="0.2">
      <c r="B1105" s="85"/>
      <c r="C1105" s="85"/>
      <c r="H1105" s="29"/>
      <c r="M1105" s="27"/>
    </row>
    <row r="1106" spans="2:13" x14ac:dyDescent="0.2">
      <c r="B1106" s="85"/>
      <c r="C1106" s="85"/>
      <c r="H1106" s="29"/>
      <c r="M1106" s="27"/>
    </row>
    <row r="1107" spans="2:13" x14ac:dyDescent="0.2">
      <c r="B1107" s="85"/>
      <c r="C1107" s="85"/>
      <c r="H1107" s="29"/>
      <c r="M1107" s="27"/>
    </row>
    <row r="1108" spans="2:13" x14ac:dyDescent="0.2">
      <c r="B1108" s="85"/>
      <c r="C1108" s="85"/>
      <c r="H1108" s="29"/>
      <c r="M1108" s="27"/>
    </row>
    <row r="1109" spans="2:13" x14ac:dyDescent="0.2">
      <c r="B1109" s="85"/>
      <c r="C1109" s="85"/>
      <c r="H1109" s="29"/>
      <c r="M1109" s="27"/>
    </row>
    <row r="1110" spans="2:13" x14ac:dyDescent="0.2">
      <c r="B1110" s="85"/>
      <c r="C1110" s="85"/>
      <c r="H1110" s="29"/>
      <c r="M1110" s="27"/>
    </row>
    <row r="1111" spans="2:13" x14ac:dyDescent="0.2">
      <c r="B1111" s="85"/>
      <c r="C1111" s="85"/>
      <c r="H1111" s="29"/>
      <c r="M1111" s="27"/>
    </row>
    <row r="1112" spans="2:13" x14ac:dyDescent="0.2">
      <c r="B1112" s="85"/>
      <c r="C1112" s="85"/>
      <c r="H1112" s="29"/>
      <c r="M1112" s="27"/>
    </row>
    <row r="1113" spans="2:13" x14ac:dyDescent="0.2">
      <c r="B1113" s="85"/>
      <c r="C1113" s="85"/>
      <c r="H1113" s="29"/>
      <c r="M1113" s="27"/>
    </row>
    <row r="1114" spans="2:13" x14ac:dyDescent="0.2">
      <c r="B1114" s="85"/>
      <c r="C1114" s="85"/>
      <c r="H1114" s="29"/>
      <c r="M1114" s="27"/>
    </row>
    <row r="1115" spans="2:13" x14ac:dyDescent="0.2">
      <c r="B1115" s="85"/>
      <c r="C1115" s="85"/>
      <c r="H1115" s="29"/>
      <c r="M1115" s="27"/>
    </row>
    <row r="1116" spans="2:13" x14ac:dyDescent="0.2">
      <c r="B1116" s="85"/>
      <c r="C1116" s="85"/>
      <c r="H1116" s="29"/>
      <c r="M1116" s="27"/>
    </row>
    <row r="1117" spans="2:13" x14ac:dyDescent="0.2">
      <c r="B1117" s="85"/>
      <c r="C1117" s="85"/>
      <c r="H1117" s="29"/>
      <c r="M1117" s="27"/>
    </row>
    <row r="1118" spans="2:13" x14ac:dyDescent="0.2">
      <c r="B1118" s="85"/>
      <c r="C1118" s="85"/>
      <c r="H1118" s="29"/>
      <c r="M1118" s="27"/>
    </row>
    <row r="1119" spans="2:13" x14ac:dyDescent="0.2">
      <c r="B1119" s="85"/>
      <c r="C1119" s="85"/>
      <c r="H1119" s="29"/>
      <c r="M1119" s="27"/>
    </row>
    <row r="1120" spans="2:13" x14ac:dyDescent="0.2">
      <c r="B1120" s="85"/>
      <c r="C1120" s="85"/>
      <c r="H1120" s="29"/>
      <c r="M1120" s="27"/>
    </row>
    <row r="1121" spans="2:13" x14ac:dyDescent="0.2">
      <c r="B1121" s="85"/>
      <c r="C1121" s="85"/>
      <c r="H1121" s="29"/>
      <c r="M1121" s="27"/>
    </row>
    <row r="1122" spans="2:13" x14ac:dyDescent="0.2">
      <c r="B1122" s="85"/>
      <c r="C1122" s="85"/>
      <c r="H1122" s="29"/>
      <c r="M1122" s="27"/>
    </row>
    <row r="1123" spans="2:13" x14ac:dyDescent="0.2">
      <c r="B1123" s="85"/>
      <c r="C1123" s="85"/>
      <c r="H1123" s="29"/>
      <c r="M1123" s="27"/>
    </row>
    <row r="1124" spans="2:13" x14ac:dyDescent="0.2">
      <c r="B1124" s="85"/>
      <c r="C1124" s="85"/>
      <c r="H1124" s="29"/>
      <c r="M1124" s="27"/>
    </row>
    <row r="1125" spans="2:13" x14ac:dyDescent="0.2">
      <c r="B1125" s="85"/>
      <c r="C1125" s="85"/>
      <c r="H1125" s="29"/>
      <c r="M1125" s="27"/>
    </row>
    <row r="1126" spans="2:13" x14ac:dyDescent="0.2">
      <c r="B1126" s="85"/>
      <c r="C1126" s="85"/>
      <c r="H1126" s="29"/>
      <c r="M1126" s="27"/>
    </row>
    <row r="1127" spans="2:13" x14ac:dyDescent="0.2">
      <c r="B1127" s="85"/>
      <c r="C1127" s="85"/>
      <c r="H1127" s="29"/>
      <c r="M1127" s="27"/>
    </row>
    <row r="1128" spans="2:13" x14ac:dyDescent="0.2">
      <c r="B1128" s="85"/>
      <c r="C1128" s="85"/>
      <c r="H1128" s="29"/>
      <c r="M1128" s="27"/>
    </row>
    <row r="1129" spans="2:13" x14ac:dyDescent="0.2">
      <c r="B1129" s="85"/>
      <c r="C1129" s="85"/>
      <c r="H1129" s="29"/>
      <c r="M1129" s="27"/>
    </row>
    <row r="1130" spans="2:13" x14ac:dyDescent="0.2">
      <c r="B1130" s="85"/>
      <c r="C1130" s="85"/>
      <c r="H1130" s="29"/>
      <c r="M1130" s="27"/>
    </row>
    <row r="1131" spans="2:13" x14ac:dyDescent="0.2">
      <c r="B1131" s="85"/>
      <c r="C1131" s="85"/>
      <c r="H1131" s="29"/>
      <c r="M1131" s="27"/>
    </row>
    <row r="1132" spans="2:13" x14ac:dyDescent="0.2">
      <c r="B1132" s="85"/>
      <c r="C1132" s="85"/>
      <c r="H1132" s="29"/>
      <c r="M1132" s="27"/>
    </row>
    <row r="1133" spans="2:13" x14ac:dyDescent="0.2">
      <c r="B1133" s="85"/>
      <c r="C1133" s="85"/>
      <c r="H1133" s="29"/>
      <c r="M1133" s="27"/>
    </row>
    <row r="1134" spans="2:13" x14ac:dyDescent="0.2">
      <c r="B1134" s="85"/>
      <c r="C1134" s="85"/>
      <c r="H1134" s="29"/>
      <c r="M1134" s="27"/>
    </row>
    <row r="1135" spans="2:13" x14ac:dyDescent="0.2">
      <c r="B1135" s="85"/>
      <c r="C1135" s="85"/>
      <c r="H1135" s="29"/>
      <c r="M1135" s="27"/>
    </row>
    <row r="1136" spans="2:13" x14ac:dyDescent="0.2">
      <c r="B1136" s="85"/>
      <c r="C1136" s="85"/>
      <c r="H1136" s="29"/>
      <c r="M1136" s="27"/>
    </row>
    <row r="1137" spans="2:13" x14ac:dyDescent="0.2">
      <c r="B1137" s="85"/>
      <c r="C1137" s="85"/>
      <c r="H1137" s="29"/>
      <c r="M1137" s="27"/>
    </row>
    <row r="1138" spans="2:13" x14ac:dyDescent="0.2">
      <c r="B1138" s="85"/>
      <c r="C1138" s="85"/>
      <c r="H1138" s="29"/>
      <c r="M1138" s="27"/>
    </row>
    <row r="1139" spans="2:13" x14ac:dyDescent="0.2">
      <c r="B1139" s="85"/>
      <c r="C1139" s="85"/>
      <c r="H1139" s="29"/>
      <c r="M1139" s="27"/>
    </row>
    <row r="1140" spans="2:13" x14ac:dyDescent="0.2">
      <c r="B1140" s="85"/>
      <c r="C1140" s="85"/>
      <c r="H1140" s="29"/>
      <c r="M1140" s="27"/>
    </row>
    <row r="1141" spans="2:13" x14ac:dyDescent="0.2">
      <c r="B1141" s="85"/>
      <c r="C1141" s="85"/>
      <c r="H1141" s="29"/>
      <c r="M1141" s="27"/>
    </row>
    <row r="1142" spans="2:13" x14ac:dyDescent="0.2">
      <c r="B1142" s="85"/>
      <c r="C1142" s="85"/>
      <c r="H1142" s="29"/>
      <c r="M1142" s="27"/>
    </row>
    <row r="1143" spans="2:13" x14ac:dyDescent="0.2">
      <c r="B1143" s="85"/>
      <c r="C1143" s="85"/>
      <c r="H1143" s="29"/>
      <c r="M1143" s="27"/>
    </row>
    <row r="1144" spans="2:13" x14ac:dyDescent="0.2">
      <c r="B1144" s="85"/>
      <c r="C1144" s="85"/>
      <c r="H1144" s="29"/>
      <c r="M1144" s="27"/>
    </row>
    <row r="1145" spans="2:13" x14ac:dyDescent="0.2">
      <c r="B1145" s="85"/>
      <c r="C1145" s="85"/>
      <c r="H1145" s="29"/>
      <c r="M1145" s="27"/>
    </row>
    <row r="1146" spans="2:13" x14ac:dyDescent="0.2">
      <c r="B1146" s="85"/>
      <c r="C1146" s="85"/>
      <c r="H1146" s="29"/>
      <c r="M1146" s="27"/>
    </row>
    <row r="1147" spans="2:13" x14ac:dyDescent="0.2">
      <c r="B1147" s="85"/>
      <c r="C1147" s="85"/>
      <c r="H1147" s="29"/>
      <c r="M1147" s="27"/>
    </row>
    <row r="1148" spans="2:13" x14ac:dyDescent="0.2">
      <c r="B1148" s="85"/>
      <c r="C1148" s="85"/>
      <c r="H1148" s="29"/>
      <c r="M1148" s="27"/>
    </row>
    <row r="1149" spans="2:13" x14ac:dyDescent="0.2">
      <c r="B1149" s="85"/>
      <c r="C1149" s="85"/>
      <c r="H1149" s="29"/>
      <c r="M1149" s="27"/>
    </row>
    <row r="1150" spans="2:13" x14ac:dyDescent="0.2">
      <c r="B1150" s="85"/>
      <c r="C1150" s="85"/>
      <c r="H1150" s="29"/>
      <c r="M1150" s="27"/>
    </row>
    <row r="1151" spans="2:13" x14ac:dyDescent="0.2">
      <c r="B1151" s="85"/>
      <c r="C1151" s="85"/>
      <c r="H1151" s="29"/>
      <c r="M1151" s="27"/>
    </row>
    <row r="1152" spans="2:13" x14ac:dyDescent="0.2">
      <c r="B1152" s="85"/>
      <c r="C1152" s="85"/>
      <c r="H1152" s="29"/>
      <c r="M1152" s="27"/>
    </row>
    <row r="1153" spans="2:13" x14ac:dyDescent="0.2">
      <c r="B1153" s="85"/>
      <c r="C1153" s="85"/>
      <c r="H1153" s="29"/>
      <c r="M1153" s="27"/>
    </row>
    <row r="1154" spans="2:13" x14ac:dyDescent="0.2">
      <c r="B1154" s="85"/>
      <c r="C1154" s="85"/>
      <c r="H1154" s="29"/>
      <c r="M1154" s="27"/>
    </row>
    <row r="1155" spans="2:13" x14ac:dyDescent="0.2">
      <c r="B1155" s="85"/>
      <c r="C1155" s="85"/>
      <c r="H1155" s="29"/>
      <c r="M1155" s="27"/>
    </row>
    <row r="1156" spans="2:13" x14ac:dyDescent="0.2">
      <c r="B1156" s="85"/>
      <c r="C1156" s="85"/>
      <c r="H1156" s="29"/>
      <c r="M1156" s="27"/>
    </row>
    <row r="1157" spans="2:13" x14ac:dyDescent="0.2">
      <c r="B1157" s="85"/>
      <c r="C1157" s="85"/>
      <c r="H1157" s="29"/>
      <c r="M1157" s="27"/>
    </row>
    <row r="1158" spans="2:13" x14ac:dyDescent="0.2">
      <c r="B1158" s="85"/>
      <c r="C1158" s="85"/>
      <c r="H1158" s="29"/>
      <c r="M1158" s="27"/>
    </row>
    <row r="1159" spans="2:13" x14ac:dyDescent="0.2">
      <c r="B1159" s="85"/>
      <c r="C1159" s="85"/>
      <c r="H1159" s="29"/>
      <c r="M1159" s="27"/>
    </row>
    <row r="1160" spans="2:13" x14ac:dyDescent="0.2">
      <c r="B1160" s="85"/>
      <c r="C1160" s="85"/>
      <c r="H1160" s="29"/>
      <c r="M1160" s="27"/>
    </row>
    <row r="1161" spans="2:13" x14ac:dyDescent="0.2">
      <c r="B1161" s="85"/>
      <c r="C1161" s="85"/>
      <c r="H1161" s="29"/>
      <c r="M1161" s="27"/>
    </row>
    <row r="1162" spans="2:13" x14ac:dyDescent="0.2">
      <c r="B1162" s="85"/>
      <c r="C1162" s="85"/>
      <c r="H1162" s="29"/>
      <c r="M1162" s="27"/>
    </row>
    <row r="1163" spans="2:13" x14ac:dyDescent="0.2">
      <c r="B1163" s="85"/>
      <c r="C1163" s="85"/>
      <c r="H1163" s="29"/>
      <c r="M1163" s="27"/>
    </row>
    <row r="1164" spans="2:13" x14ac:dyDescent="0.2">
      <c r="B1164" s="85"/>
      <c r="C1164" s="85"/>
      <c r="H1164" s="29"/>
      <c r="M1164" s="27"/>
    </row>
    <row r="1165" spans="2:13" x14ac:dyDescent="0.2">
      <c r="B1165" s="85"/>
      <c r="C1165" s="85"/>
      <c r="H1165" s="29"/>
      <c r="M1165" s="27"/>
    </row>
    <row r="1166" spans="2:13" x14ac:dyDescent="0.2">
      <c r="B1166" s="85"/>
      <c r="C1166" s="85"/>
      <c r="H1166" s="29"/>
      <c r="M1166" s="27"/>
    </row>
    <row r="1167" spans="2:13" x14ac:dyDescent="0.2">
      <c r="B1167" s="85"/>
      <c r="C1167" s="85"/>
      <c r="H1167" s="29"/>
      <c r="M1167" s="27"/>
    </row>
    <row r="1168" spans="2:13" x14ac:dyDescent="0.2">
      <c r="B1168" s="85"/>
      <c r="C1168" s="85"/>
      <c r="H1168" s="29"/>
      <c r="M1168" s="27"/>
    </row>
    <row r="1169" spans="2:13" x14ac:dyDescent="0.2">
      <c r="B1169" s="85"/>
      <c r="C1169" s="85"/>
      <c r="H1169" s="29"/>
      <c r="M1169" s="27"/>
    </row>
    <row r="1170" spans="2:13" x14ac:dyDescent="0.2">
      <c r="B1170" s="85"/>
      <c r="C1170" s="85"/>
      <c r="H1170" s="29"/>
      <c r="M1170" s="27"/>
    </row>
    <row r="1171" spans="2:13" x14ac:dyDescent="0.2">
      <c r="B1171" s="85"/>
      <c r="C1171" s="85"/>
      <c r="H1171" s="29"/>
      <c r="M1171" s="27"/>
    </row>
    <row r="1172" spans="2:13" x14ac:dyDescent="0.2">
      <c r="B1172" s="85"/>
      <c r="C1172" s="85"/>
      <c r="H1172" s="29"/>
      <c r="M1172" s="27"/>
    </row>
    <row r="1173" spans="2:13" x14ac:dyDescent="0.2">
      <c r="B1173" s="85"/>
      <c r="C1173" s="85"/>
      <c r="H1173" s="29"/>
      <c r="M1173" s="27"/>
    </row>
    <row r="1174" spans="2:13" x14ac:dyDescent="0.2">
      <c r="B1174" s="85"/>
      <c r="C1174" s="85"/>
      <c r="H1174" s="29"/>
      <c r="M1174" s="27"/>
    </row>
    <row r="1175" spans="2:13" x14ac:dyDescent="0.2">
      <c r="B1175" s="85"/>
      <c r="C1175" s="85"/>
      <c r="H1175" s="29"/>
      <c r="M1175" s="27"/>
    </row>
    <row r="1176" spans="2:13" x14ac:dyDescent="0.2">
      <c r="B1176" s="85"/>
      <c r="C1176" s="85"/>
      <c r="H1176" s="29"/>
      <c r="M1176" s="27"/>
    </row>
    <row r="1177" spans="2:13" x14ac:dyDescent="0.2">
      <c r="B1177" s="85"/>
      <c r="C1177" s="85"/>
      <c r="H1177" s="29"/>
      <c r="M1177" s="27"/>
    </row>
    <row r="1178" spans="2:13" x14ac:dyDescent="0.2">
      <c r="B1178" s="85"/>
      <c r="C1178" s="85"/>
      <c r="H1178" s="29"/>
      <c r="M1178" s="27"/>
    </row>
    <row r="1179" spans="2:13" x14ac:dyDescent="0.2">
      <c r="B1179" s="85"/>
      <c r="C1179" s="85"/>
      <c r="H1179" s="29"/>
      <c r="M1179" s="27"/>
    </row>
    <row r="1180" spans="2:13" x14ac:dyDescent="0.2">
      <c r="B1180" s="85"/>
      <c r="C1180" s="85"/>
      <c r="H1180" s="29"/>
      <c r="M1180" s="27"/>
    </row>
    <row r="1181" spans="2:13" x14ac:dyDescent="0.2">
      <c r="B1181" s="85"/>
      <c r="C1181" s="85"/>
      <c r="H1181" s="29"/>
      <c r="M1181" s="27"/>
    </row>
    <row r="1182" spans="2:13" x14ac:dyDescent="0.2">
      <c r="B1182" s="85"/>
      <c r="C1182" s="85"/>
      <c r="H1182" s="29"/>
      <c r="M1182" s="27"/>
    </row>
    <row r="1183" spans="2:13" x14ac:dyDescent="0.2">
      <c r="B1183" s="85"/>
      <c r="C1183" s="85"/>
      <c r="H1183" s="29"/>
      <c r="M1183" s="27"/>
    </row>
    <row r="1184" spans="2:13" x14ac:dyDescent="0.2">
      <c r="B1184" s="85"/>
      <c r="C1184" s="85"/>
      <c r="H1184" s="29"/>
      <c r="M1184" s="27"/>
    </row>
    <row r="1185" spans="2:13" x14ac:dyDescent="0.2">
      <c r="B1185" s="85"/>
      <c r="C1185" s="85"/>
      <c r="H1185" s="29"/>
      <c r="M1185" s="27"/>
    </row>
    <row r="1186" spans="2:13" x14ac:dyDescent="0.2">
      <c r="B1186" s="85"/>
      <c r="C1186" s="85"/>
      <c r="H1186" s="29"/>
      <c r="M1186" s="27"/>
    </row>
    <row r="1187" spans="2:13" x14ac:dyDescent="0.2">
      <c r="B1187" s="85"/>
      <c r="C1187" s="85"/>
      <c r="H1187" s="29"/>
      <c r="M1187" s="27"/>
    </row>
    <row r="1188" spans="2:13" x14ac:dyDescent="0.2">
      <c r="B1188" s="85"/>
      <c r="C1188" s="85"/>
      <c r="H1188" s="29"/>
      <c r="M1188" s="27"/>
    </row>
    <row r="1189" spans="2:13" x14ac:dyDescent="0.2">
      <c r="B1189" s="85"/>
      <c r="C1189" s="85"/>
      <c r="H1189" s="29"/>
      <c r="M1189" s="27"/>
    </row>
    <row r="1190" spans="2:13" x14ac:dyDescent="0.2">
      <c r="B1190" s="85"/>
      <c r="C1190" s="85"/>
      <c r="H1190" s="29"/>
      <c r="M1190" s="27"/>
    </row>
    <row r="1191" spans="2:13" x14ac:dyDescent="0.2">
      <c r="B1191" s="85"/>
      <c r="C1191" s="85"/>
      <c r="H1191" s="29"/>
      <c r="M1191" s="27"/>
    </row>
    <row r="1192" spans="2:13" x14ac:dyDescent="0.2">
      <c r="B1192" s="85"/>
      <c r="C1192" s="85"/>
      <c r="H1192" s="29"/>
      <c r="M1192" s="27"/>
    </row>
    <row r="1193" spans="2:13" x14ac:dyDescent="0.2">
      <c r="B1193" s="85"/>
      <c r="C1193" s="85"/>
      <c r="H1193" s="29"/>
      <c r="M1193" s="27"/>
    </row>
    <row r="1194" spans="2:13" x14ac:dyDescent="0.2">
      <c r="B1194" s="85"/>
      <c r="C1194" s="85"/>
      <c r="H1194" s="29"/>
      <c r="M1194" s="27"/>
    </row>
    <row r="1195" spans="2:13" x14ac:dyDescent="0.2">
      <c r="B1195" s="85"/>
      <c r="C1195" s="85"/>
      <c r="H1195" s="29"/>
      <c r="M1195" s="27"/>
    </row>
    <row r="1196" spans="2:13" x14ac:dyDescent="0.2">
      <c r="B1196" s="85"/>
      <c r="C1196" s="85"/>
      <c r="H1196" s="29"/>
      <c r="M1196" s="27"/>
    </row>
    <row r="1197" spans="2:13" x14ac:dyDescent="0.2">
      <c r="B1197" s="85"/>
      <c r="C1197" s="85"/>
      <c r="H1197" s="29"/>
      <c r="M1197" s="27"/>
    </row>
    <row r="1198" spans="2:13" x14ac:dyDescent="0.2">
      <c r="B1198" s="85"/>
      <c r="C1198" s="85"/>
      <c r="H1198" s="29"/>
      <c r="M1198" s="27"/>
    </row>
    <row r="1199" spans="2:13" x14ac:dyDescent="0.2">
      <c r="B1199" s="85"/>
      <c r="C1199" s="85"/>
      <c r="H1199" s="29"/>
      <c r="M1199" s="27"/>
    </row>
    <row r="1200" spans="2:13" x14ac:dyDescent="0.2">
      <c r="B1200" s="85"/>
      <c r="C1200" s="85"/>
      <c r="H1200" s="29"/>
      <c r="M1200" s="27"/>
    </row>
    <row r="1201" spans="2:13" x14ac:dyDescent="0.2">
      <c r="B1201" s="85"/>
      <c r="C1201" s="85"/>
      <c r="H1201" s="29"/>
      <c r="M1201" s="27"/>
    </row>
    <row r="1202" spans="2:13" x14ac:dyDescent="0.2">
      <c r="B1202" s="85"/>
      <c r="C1202" s="85"/>
      <c r="H1202" s="29"/>
      <c r="M1202" s="27"/>
    </row>
    <row r="1203" spans="2:13" x14ac:dyDescent="0.2">
      <c r="B1203" s="85"/>
      <c r="C1203" s="85"/>
      <c r="H1203" s="29"/>
      <c r="M1203" s="27"/>
    </row>
    <row r="1204" spans="2:13" x14ac:dyDescent="0.2">
      <c r="B1204" s="85"/>
      <c r="C1204" s="85"/>
      <c r="H1204" s="29"/>
      <c r="M1204" s="27"/>
    </row>
    <row r="1205" spans="2:13" x14ac:dyDescent="0.2">
      <c r="B1205" s="85"/>
      <c r="C1205" s="85"/>
      <c r="H1205" s="29"/>
      <c r="M1205" s="27"/>
    </row>
    <row r="1206" spans="2:13" x14ac:dyDescent="0.2">
      <c r="B1206" s="85"/>
      <c r="C1206" s="85"/>
      <c r="H1206" s="29"/>
      <c r="M1206" s="27"/>
    </row>
    <row r="1207" spans="2:13" x14ac:dyDescent="0.2">
      <c r="B1207" s="85"/>
      <c r="C1207" s="85"/>
      <c r="H1207" s="29"/>
      <c r="M1207" s="27"/>
    </row>
    <row r="1208" spans="2:13" x14ac:dyDescent="0.2">
      <c r="B1208" s="85"/>
      <c r="C1208" s="85"/>
      <c r="H1208" s="29"/>
      <c r="M1208" s="27"/>
    </row>
    <row r="1209" spans="2:13" x14ac:dyDescent="0.2">
      <c r="B1209" s="85"/>
      <c r="C1209" s="85"/>
      <c r="H1209" s="29"/>
      <c r="M1209" s="27"/>
    </row>
    <row r="1210" spans="2:13" x14ac:dyDescent="0.2">
      <c r="B1210" s="85"/>
      <c r="C1210" s="85"/>
      <c r="H1210" s="29"/>
      <c r="M1210" s="27"/>
    </row>
    <row r="1211" spans="2:13" x14ac:dyDescent="0.2">
      <c r="B1211" s="85"/>
      <c r="C1211" s="85"/>
      <c r="H1211" s="29"/>
      <c r="M1211" s="27"/>
    </row>
    <row r="1212" spans="2:13" x14ac:dyDescent="0.2">
      <c r="B1212" s="85"/>
      <c r="C1212" s="85"/>
      <c r="H1212" s="29"/>
      <c r="M1212" s="27"/>
    </row>
    <row r="1213" spans="2:13" x14ac:dyDescent="0.2">
      <c r="B1213" s="85"/>
      <c r="C1213" s="85"/>
      <c r="H1213" s="29"/>
      <c r="M1213" s="27"/>
    </row>
    <row r="1214" spans="2:13" x14ac:dyDescent="0.2">
      <c r="B1214" s="85"/>
      <c r="C1214" s="85"/>
      <c r="H1214" s="29"/>
      <c r="M1214" s="27"/>
    </row>
    <row r="1215" spans="2:13" x14ac:dyDescent="0.2">
      <c r="B1215" s="85"/>
      <c r="C1215" s="85"/>
      <c r="H1215" s="29"/>
      <c r="M1215" s="27"/>
    </row>
    <row r="1216" spans="2:13" x14ac:dyDescent="0.2">
      <c r="B1216" s="85"/>
      <c r="C1216" s="85"/>
      <c r="H1216" s="29"/>
      <c r="M1216" s="27"/>
    </row>
    <row r="1217" spans="2:13" x14ac:dyDescent="0.2">
      <c r="B1217" s="85"/>
      <c r="C1217" s="85"/>
      <c r="H1217" s="29"/>
      <c r="M1217" s="27"/>
    </row>
    <row r="1218" spans="2:13" x14ac:dyDescent="0.2">
      <c r="B1218" s="85"/>
      <c r="C1218" s="85"/>
      <c r="H1218" s="29"/>
      <c r="M1218" s="27"/>
    </row>
    <row r="1219" spans="2:13" x14ac:dyDescent="0.2">
      <c r="B1219" s="85"/>
      <c r="C1219" s="85"/>
      <c r="H1219" s="29"/>
      <c r="M1219" s="27"/>
    </row>
    <row r="1220" spans="2:13" x14ac:dyDescent="0.2">
      <c r="B1220" s="85"/>
      <c r="C1220" s="85"/>
      <c r="H1220" s="29"/>
      <c r="M1220" s="27"/>
    </row>
    <row r="1221" spans="2:13" x14ac:dyDescent="0.2">
      <c r="B1221" s="85"/>
      <c r="C1221" s="85"/>
      <c r="H1221" s="29"/>
      <c r="M1221" s="27"/>
    </row>
    <row r="1222" spans="2:13" x14ac:dyDescent="0.2">
      <c r="B1222" s="85"/>
      <c r="C1222" s="85"/>
      <c r="H1222" s="29"/>
      <c r="M1222" s="27"/>
    </row>
    <row r="1223" spans="2:13" x14ac:dyDescent="0.2">
      <c r="B1223" s="85"/>
      <c r="C1223" s="85"/>
      <c r="H1223" s="29"/>
      <c r="M1223" s="27"/>
    </row>
    <row r="1224" spans="2:13" x14ac:dyDescent="0.2">
      <c r="B1224" s="85"/>
      <c r="C1224" s="85"/>
      <c r="H1224" s="29"/>
      <c r="M1224" s="27"/>
    </row>
    <row r="1225" spans="2:13" x14ac:dyDescent="0.2">
      <c r="B1225" s="85"/>
      <c r="C1225" s="85"/>
      <c r="H1225" s="29"/>
      <c r="M1225" s="27"/>
    </row>
    <row r="1226" spans="2:13" x14ac:dyDescent="0.2">
      <c r="B1226" s="85"/>
      <c r="C1226" s="85"/>
      <c r="H1226" s="29"/>
      <c r="M1226" s="27"/>
    </row>
    <row r="1227" spans="2:13" x14ac:dyDescent="0.2">
      <c r="B1227" s="85"/>
      <c r="C1227" s="85"/>
      <c r="H1227" s="29"/>
      <c r="M1227" s="27"/>
    </row>
    <row r="1228" spans="2:13" x14ac:dyDescent="0.2">
      <c r="B1228" s="85"/>
      <c r="C1228" s="85"/>
      <c r="H1228" s="29"/>
      <c r="M1228" s="27"/>
    </row>
    <row r="1229" spans="2:13" x14ac:dyDescent="0.2">
      <c r="B1229" s="85"/>
      <c r="C1229" s="85"/>
      <c r="H1229" s="29"/>
      <c r="M1229" s="27"/>
    </row>
    <row r="1230" spans="2:13" x14ac:dyDescent="0.2">
      <c r="B1230" s="85"/>
      <c r="C1230" s="85"/>
      <c r="H1230" s="29"/>
      <c r="M1230" s="27"/>
    </row>
    <row r="1231" spans="2:13" x14ac:dyDescent="0.2">
      <c r="B1231" s="85"/>
      <c r="C1231" s="85"/>
      <c r="H1231" s="29"/>
      <c r="M1231" s="27"/>
    </row>
    <row r="1232" spans="2:13" x14ac:dyDescent="0.2">
      <c r="B1232" s="85"/>
      <c r="C1232" s="85"/>
      <c r="H1232" s="29"/>
      <c r="M1232" s="27"/>
    </row>
    <row r="1233" spans="2:13" x14ac:dyDescent="0.2">
      <c r="B1233" s="85"/>
      <c r="C1233" s="85"/>
      <c r="H1233" s="29"/>
      <c r="M1233" s="27"/>
    </row>
    <row r="1234" spans="2:13" x14ac:dyDescent="0.2">
      <c r="B1234" s="85"/>
      <c r="C1234" s="85"/>
      <c r="H1234" s="29"/>
      <c r="M1234" s="27"/>
    </row>
    <row r="1235" spans="2:13" x14ac:dyDescent="0.2">
      <c r="B1235" s="85"/>
      <c r="C1235" s="85"/>
      <c r="H1235" s="29"/>
      <c r="M1235" s="27"/>
    </row>
    <row r="1236" spans="2:13" x14ac:dyDescent="0.2">
      <c r="B1236" s="85"/>
      <c r="C1236" s="85"/>
      <c r="H1236" s="29"/>
      <c r="M1236" s="27"/>
    </row>
    <row r="1237" spans="2:13" x14ac:dyDescent="0.2">
      <c r="B1237" s="85"/>
      <c r="C1237" s="85"/>
      <c r="H1237" s="29"/>
      <c r="M1237" s="27"/>
    </row>
    <row r="1238" spans="2:13" x14ac:dyDescent="0.2">
      <c r="B1238" s="85"/>
      <c r="C1238" s="85"/>
      <c r="H1238" s="29"/>
      <c r="M1238" s="27"/>
    </row>
    <row r="1239" spans="2:13" x14ac:dyDescent="0.2">
      <c r="B1239" s="85"/>
      <c r="C1239" s="85"/>
      <c r="H1239" s="29"/>
      <c r="M1239" s="27"/>
    </row>
    <row r="1240" spans="2:13" x14ac:dyDescent="0.2">
      <c r="B1240" s="85"/>
      <c r="C1240" s="85"/>
      <c r="H1240" s="29"/>
      <c r="M1240" s="27"/>
    </row>
    <row r="1241" spans="2:13" x14ac:dyDescent="0.2">
      <c r="B1241" s="85"/>
      <c r="C1241" s="85"/>
      <c r="H1241" s="29"/>
      <c r="M1241" s="27"/>
    </row>
    <row r="1242" spans="2:13" x14ac:dyDescent="0.2">
      <c r="B1242" s="85"/>
      <c r="C1242" s="85"/>
      <c r="H1242" s="29"/>
      <c r="M1242" s="27"/>
    </row>
    <row r="1243" spans="2:13" x14ac:dyDescent="0.2">
      <c r="B1243" s="85"/>
      <c r="C1243" s="85"/>
      <c r="H1243" s="29"/>
      <c r="M1243" s="27"/>
    </row>
    <row r="1244" spans="2:13" x14ac:dyDescent="0.2">
      <c r="B1244" s="85"/>
      <c r="C1244" s="85"/>
      <c r="H1244" s="29"/>
      <c r="M1244" s="27"/>
    </row>
    <row r="1245" spans="2:13" x14ac:dyDescent="0.2">
      <c r="B1245" s="85"/>
      <c r="C1245" s="85"/>
      <c r="H1245" s="29"/>
      <c r="M1245" s="27"/>
    </row>
    <row r="1246" spans="2:13" x14ac:dyDescent="0.2">
      <c r="B1246" s="85"/>
      <c r="C1246" s="85"/>
      <c r="H1246" s="29"/>
      <c r="M1246" s="27"/>
    </row>
    <row r="1247" spans="2:13" x14ac:dyDescent="0.2">
      <c r="B1247" s="85"/>
      <c r="C1247" s="85"/>
      <c r="H1247" s="29"/>
      <c r="M1247" s="27"/>
    </row>
    <row r="1248" spans="2:13" x14ac:dyDescent="0.2">
      <c r="B1248" s="85"/>
      <c r="C1248" s="85"/>
      <c r="H1248" s="29"/>
      <c r="M1248" s="27"/>
    </row>
    <row r="1249" spans="2:13" x14ac:dyDescent="0.2">
      <c r="B1249" s="85"/>
      <c r="C1249" s="85"/>
      <c r="H1249" s="29"/>
      <c r="M1249" s="27"/>
    </row>
    <row r="1250" spans="2:13" x14ac:dyDescent="0.2">
      <c r="B1250" s="85"/>
      <c r="C1250" s="85"/>
      <c r="H1250" s="29"/>
      <c r="M1250" s="27"/>
    </row>
    <row r="1251" spans="2:13" x14ac:dyDescent="0.2">
      <c r="B1251" s="85"/>
      <c r="C1251" s="85"/>
      <c r="H1251" s="29"/>
      <c r="M1251" s="27"/>
    </row>
    <row r="1252" spans="2:13" x14ac:dyDescent="0.2">
      <c r="B1252" s="85"/>
      <c r="C1252" s="85"/>
      <c r="H1252" s="29"/>
      <c r="M1252" s="27"/>
    </row>
    <row r="1253" spans="2:13" x14ac:dyDescent="0.2">
      <c r="B1253" s="85"/>
      <c r="C1253" s="85"/>
      <c r="H1253" s="29"/>
      <c r="M1253" s="27"/>
    </row>
    <row r="1254" spans="2:13" x14ac:dyDescent="0.2">
      <c r="B1254" s="85"/>
      <c r="C1254" s="85"/>
      <c r="H1254" s="29"/>
      <c r="M1254" s="27"/>
    </row>
    <row r="1255" spans="2:13" x14ac:dyDescent="0.2">
      <c r="B1255" s="85"/>
      <c r="C1255" s="85"/>
      <c r="H1255" s="29"/>
      <c r="M1255" s="27"/>
    </row>
    <row r="1256" spans="2:13" x14ac:dyDescent="0.2">
      <c r="B1256" s="85"/>
      <c r="C1256" s="85"/>
      <c r="H1256" s="29"/>
      <c r="M1256" s="27"/>
    </row>
    <row r="1257" spans="2:13" x14ac:dyDescent="0.2">
      <c r="B1257" s="85"/>
      <c r="C1257" s="85"/>
      <c r="H1257" s="29"/>
      <c r="M1257" s="27"/>
    </row>
    <row r="1258" spans="2:13" x14ac:dyDescent="0.2">
      <c r="B1258" s="85"/>
      <c r="C1258" s="85"/>
      <c r="H1258" s="29"/>
      <c r="M1258" s="27"/>
    </row>
    <row r="1259" spans="2:13" x14ac:dyDescent="0.2">
      <c r="B1259" s="85"/>
      <c r="C1259" s="85"/>
      <c r="H1259" s="29"/>
      <c r="M1259" s="27"/>
    </row>
    <row r="1260" spans="2:13" x14ac:dyDescent="0.2">
      <c r="B1260" s="85"/>
      <c r="C1260" s="85"/>
      <c r="H1260" s="29"/>
      <c r="M1260" s="27"/>
    </row>
    <row r="1261" spans="2:13" x14ac:dyDescent="0.2">
      <c r="B1261" s="85"/>
      <c r="C1261" s="85"/>
      <c r="H1261" s="29"/>
      <c r="M1261" s="27"/>
    </row>
    <row r="1262" spans="2:13" x14ac:dyDescent="0.2">
      <c r="B1262" s="85"/>
      <c r="C1262" s="85"/>
      <c r="H1262" s="29"/>
      <c r="M1262" s="27"/>
    </row>
    <row r="1263" spans="2:13" x14ac:dyDescent="0.2">
      <c r="B1263" s="85"/>
      <c r="C1263" s="85"/>
      <c r="H1263" s="29"/>
      <c r="M1263" s="27"/>
    </row>
    <row r="1264" spans="2:13" x14ac:dyDescent="0.2">
      <c r="B1264" s="85"/>
      <c r="C1264" s="85"/>
      <c r="H1264" s="29"/>
      <c r="M1264" s="27"/>
    </row>
    <row r="1265" spans="2:13" x14ac:dyDescent="0.2">
      <c r="B1265" s="85"/>
      <c r="C1265" s="85"/>
      <c r="H1265" s="29"/>
      <c r="M1265" s="27"/>
    </row>
    <row r="1266" spans="2:13" x14ac:dyDescent="0.2">
      <c r="B1266" s="85"/>
      <c r="C1266" s="85"/>
      <c r="H1266" s="29"/>
      <c r="M1266" s="27"/>
    </row>
    <row r="1267" spans="2:13" x14ac:dyDescent="0.2">
      <c r="B1267" s="85"/>
      <c r="C1267" s="85"/>
      <c r="H1267" s="29"/>
      <c r="M1267" s="27"/>
    </row>
    <row r="1268" spans="2:13" x14ac:dyDescent="0.2">
      <c r="B1268" s="85"/>
      <c r="C1268" s="85"/>
      <c r="H1268" s="29"/>
      <c r="M1268" s="27"/>
    </row>
    <row r="1269" spans="2:13" x14ac:dyDescent="0.2">
      <c r="B1269" s="85"/>
      <c r="C1269" s="85"/>
      <c r="H1269" s="29"/>
      <c r="M1269" s="27"/>
    </row>
    <row r="1270" spans="2:13" x14ac:dyDescent="0.2">
      <c r="B1270" s="85"/>
      <c r="C1270" s="85"/>
      <c r="H1270" s="29"/>
      <c r="M1270" s="27"/>
    </row>
    <row r="1271" spans="2:13" x14ac:dyDescent="0.2">
      <c r="B1271" s="85"/>
      <c r="C1271" s="85"/>
      <c r="H1271" s="29"/>
      <c r="M1271" s="27"/>
    </row>
    <row r="1272" spans="2:13" x14ac:dyDescent="0.2">
      <c r="B1272" s="85"/>
      <c r="C1272" s="85"/>
      <c r="H1272" s="29"/>
      <c r="M1272" s="27"/>
    </row>
    <row r="1273" spans="2:13" x14ac:dyDescent="0.2">
      <c r="B1273" s="85"/>
      <c r="C1273" s="85"/>
      <c r="H1273" s="29"/>
      <c r="M1273" s="27"/>
    </row>
    <row r="1274" spans="2:13" x14ac:dyDescent="0.2">
      <c r="B1274" s="85"/>
      <c r="C1274" s="85"/>
      <c r="H1274" s="29"/>
      <c r="M1274" s="27"/>
    </row>
    <row r="1275" spans="2:13" x14ac:dyDescent="0.2">
      <c r="B1275" s="85"/>
      <c r="C1275" s="85"/>
      <c r="H1275" s="29"/>
      <c r="M1275" s="27"/>
    </row>
    <row r="1276" spans="2:13" x14ac:dyDescent="0.2">
      <c r="B1276" s="85"/>
      <c r="C1276" s="85"/>
      <c r="H1276" s="29"/>
      <c r="M1276" s="27"/>
    </row>
    <row r="1277" spans="2:13" x14ac:dyDescent="0.2">
      <c r="B1277" s="85"/>
      <c r="C1277" s="85"/>
      <c r="H1277" s="29"/>
      <c r="M1277" s="27"/>
    </row>
    <row r="1278" spans="2:13" x14ac:dyDescent="0.2">
      <c r="B1278" s="85"/>
      <c r="C1278" s="85"/>
      <c r="H1278" s="29"/>
      <c r="M1278" s="27"/>
    </row>
    <row r="1279" spans="2:13" x14ac:dyDescent="0.2">
      <c r="B1279" s="85"/>
      <c r="C1279" s="85"/>
      <c r="H1279" s="29"/>
      <c r="M1279" s="27"/>
    </row>
    <row r="1280" spans="2:13" x14ac:dyDescent="0.2">
      <c r="B1280" s="85"/>
      <c r="C1280" s="85"/>
      <c r="H1280" s="29"/>
      <c r="M1280" s="27"/>
    </row>
    <row r="1281" spans="2:13" x14ac:dyDescent="0.2">
      <c r="B1281" s="85"/>
      <c r="C1281" s="85"/>
      <c r="H1281" s="29"/>
      <c r="M1281" s="27"/>
    </row>
    <row r="1282" spans="2:13" x14ac:dyDescent="0.2">
      <c r="B1282" s="85"/>
      <c r="C1282" s="85"/>
      <c r="H1282" s="29"/>
      <c r="M1282" s="27"/>
    </row>
    <row r="1283" spans="2:13" x14ac:dyDescent="0.2">
      <c r="B1283" s="85"/>
      <c r="C1283" s="85"/>
      <c r="H1283" s="29"/>
      <c r="M1283" s="27"/>
    </row>
    <row r="1284" spans="2:13" x14ac:dyDescent="0.2">
      <c r="B1284" s="85"/>
      <c r="C1284" s="85"/>
      <c r="H1284" s="29"/>
      <c r="M1284" s="27"/>
    </row>
    <row r="1285" spans="2:13" x14ac:dyDescent="0.2">
      <c r="B1285" s="85"/>
      <c r="C1285" s="85"/>
      <c r="H1285" s="29"/>
      <c r="M1285" s="27"/>
    </row>
    <row r="1286" spans="2:13" x14ac:dyDescent="0.2">
      <c r="B1286" s="85"/>
      <c r="C1286" s="85"/>
      <c r="H1286" s="29"/>
      <c r="M1286" s="27"/>
    </row>
    <row r="1287" spans="2:13" x14ac:dyDescent="0.2">
      <c r="B1287" s="85"/>
      <c r="C1287" s="85"/>
      <c r="H1287" s="29"/>
      <c r="M1287" s="27"/>
    </row>
    <row r="1288" spans="2:13" x14ac:dyDescent="0.2">
      <c r="B1288" s="85"/>
      <c r="C1288" s="85"/>
      <c r="H1288" s="29"/>
      <c r="M1288" s="27"/>
    </row>
    <row r="1289" spans="2:13" x14ac:dyDescent="0.2">
      <c r="B1289" s="85"/>
      <c r="C1289" s="85"/>
      <c r="H1289" s="29"/>
      <c r="M1289" s="27"/>
    </row>
    <row r="1290" spans="2:13" x14ac:dyDescent="0.2">
      <c r="B1290" s="85"/>
      <c r="C1290" s="85"/>
      <c r="H1290" s="29"/>
      <c r="M1290" s="27"/>
    </row>
    <row r="1291" spans="2:13" x14ac:dyDescent="0.2">
      <c r="B1291" s="85"/>
      <c r="C1291" s="85"/>
      <c r="H1291" s="29"/>
      <c r="M1291" s="27"/>
    </row>
    <row r="1292" spans="2:13" x14ac:dyDescent="0.2">
      <c r="B1292" s="85"/>
      <c r="C1292" s="85"/>
      <c r="H1292" s="29"/>
      <c r="M1292" s="27"/>
    </row>
    <row r="1293" spans="2:13" x14ac:dyDescent="0.2">
      <c r="B1293" s="85"/>
      <c r="C1293" s="85"/>
      <c r="H1293" s="29"/>
      <c r="M1293" s="27"/>
    </row>
    <row r="1294" spans="2:13" x14ac:dyDescent="0.2">
      <c r="B1294" s="85"/>
      <c r="C1294" s="85"/>
      <c r="H1294" s="29"/>
      <c r="M1294" s="27"/>
    </row>
    <row r="1295" spans="2:13" x14ac:dyDescent="0.2">
      <c r="B1295" s="85"/>
      <c r="C1295" s="85"/>
      <c r="H1295" s="29"/>
      <c r="M1295" s="27"/>
    </row>
    <row r="1296" spans="2:13" x14ac:dyDescent="0.2">
      <c r="B1296" s="85"/>
      <c r="C1296" s="85"/>
      <c r="H1296" s="29"/>
      <c r="M1296" s="27"/>
    </row>
    <row r="1297" spans="2:13" x14ac:dyDescent="0.2">
      <c r="B1297" s="85"/>
      <c r="C1297" s="85"/>
      <c r="H1297" s="29"/>
      <c r="M1297" s="27"/>
    </row>
    <row r="1298" spans="2:13" x14ac:dyDescent="0.2">
      <c r="B1298" s="85"/>
      <c r="C1298" s="85"/>
      <c r="H1298" s="29"/>
      <c r="M1298" s="27"/>
    </row>
    <row r="1299" spans="2:13" x14ac:dyDescent="0.2">
      <c r="B1299" s="85"/>
      <c r="C1299" s="85"/>
      <c r="H1299" s="29"/>
      <c r="M1299" s="27"/>
    </row>
    <row r="1300" spans="2:13" x14ac:dyDescent="0.2">
      <c r="B1300" s="85"/>
      <c r="C1300" s="85"/>
      <c r="H1300" s="29"/>
      <c r="M1300" s="27"/>
    </row>
    <row r="1301" spans="2:13" x14ac:dyDescent="0.2">
      <c r="B1301" s="85"/>
      <c r="C1301" s="85"/>
      <c r="H1301" s="29"/>
      <c r="M1301" s="27"/>
    </row>
    <row r="1302" spans="2:13" x14ac:dyDescent="0.2">
      <c r="B1302" s="85"/>
      <c r="C1302" s="85"/>
      <c r="H1302" s="29"/>
      <c r="M1302" s="27"/>
    </row>
    <row r="1303" spans="2:13" x14ac:dyDescent="0.2">
      <c r="B1303" s="85"/>
      <c r="C1303" s="85"/>
      <c r="H1303" s="29"/>
      <c r="M1303" s="27"/>
    </row>
    <row r="1304" spans="2:13" x14ac:dyDescent="0.2">
      <c r="B1304" s="85"/>
      <c r="C1304" s="85"/>
      <c r="H1304" s="29"/>
      <c r="M1304" s="27"/>
    </row>
    <row r="1305" spans="2:13" x14ac:dyDescent="0.2">
      <c r="B1305" s="85"/>
      <c r="C1305" s="85"/>
      <c r="H1305" s="29"/>
      <c r="M1305" s="27"/>
    </row>
    <row r="1306" spans="2:13" x14ac:dyDescent="0.2">
      <c r="B1306" s="85"/>
      <c r="C1306" s="85"/>
      <c r="H1306" s="29"/>
      <c r="M1306" s="27"/>
    </row>
    <row r="1307" spans="2:13" x14ac:dyDescent="0.2">
      <c r="B1307" s="85"/>
      <c r="C1307" s="85"/>
      <c r="H1307" s="29"/>
      <c r="M1307" s="27"/>
    </row>
    <row r="1308" spans="2:13" x14ac:dyDescent="0.2">
      <c r="B1308" s="85"/>
      <c r="C1308" s="85"/>
      <c r="H1308" s="29"/>
      <c r="M1308" s="27"/>
    </row>
    <row r="1309" spans="2:13" x14ac:dyDescent="0.2">
      <c r="B1309" s="85"/>
      <c r="C1309" s="85"/>
      <c r="H1309" s="29"/>
      <c r="M1309" s="27"/>
    </row>
    <row r="1310" spans="2:13" x14ac:dyDescent="0.2">
      <c r="B1310" s="85"/>
      <c r="C1310" s="85"/>
      <c r="H1310" s="29"/>
      <c r="M1310" s="27"/>
    </row>
    <row r="1311" spans="2:13" x14ac:dyDescent="0.2">
      <c r="B1311" s="85"/>
      <c r="C1311" s="85"/>
      <c r="H1311" s="29"/>
      <c r="M1311" s="27"/>
    </row>
    <row r="1312" spans="2:13" x14ac:dyDescent="0.2">
      <c r="B1312" s="85"/>
      <c r="C1312" s="85"/>
      <c r="H1312" s="29"/>
      <c r="M1312" s="27"/>
    </row>
    <row r="1313" spans="2:13" x14ac:dyDescent="0.2">
      <c r="B1313" s="85"/>
      <c r="C1313" s="85"/>
      <c r="H1313" s="29"/>
      <c r="M1313" s="27"/>
    </row>
    <row r="1314" spans="2:13" x14ac:dyDescent="0.2">
      <c r="B1314" s="85"/>
      <c r="C1314" s="85"/>
      <c r="H1314" s="29"/>
      <c r="M1314" s="27"/>
    </row>
    <row r="1315" spans="2:13" x14ac:dyDescent="0.2">
      <c r="B1315" s="85"/>
      <c r="C1315" s="85"/>
      <c r="H1315" s="29"/>
      <c r="M1315" s="27"/>
    </row>
    <row r="1316" spans="2:13" x14ac:dyDescent="0.2">
      <c r="B1316" s="85"/>
      <c r="C1316" s="85"/>
      <c r="H1316" s="29"/>
      <c r="M1316" s="27"/>
    </row>
    <row r="1317" spans="2:13" x14ac:dyDescent="0.2">
      <c r="B1317" s="85"/>
      <c r="C1317" s="85"/>
      <c r="H1317" s="29"/>
      <c r="M1317" s="27"/>
    </row>
    <row r="1318" spans="2:13" x14ac:dyDescent="0.2">
      <c r="B1318" s="85"/>
      <c r="C1318" s="85"/>
      <c r="H1318" s="29"/>
      <c r="M1318" s="27"/>
    </row>
    <row r="1319" spans="2:13" x14ac:dyDescent="0.2">
      <c r="B1319" s="85"/>
      <c r="C1319" s="85"/>
      <c r="H1319" s="29"/>
      <c r="M1319" s="27"/>
    </row>
    <row r="1320" spans="2:13" x14ac:dyDescent="0.2">
      <c r="B1320" s="85"/>
      <c r="C1320" s="85"/>
      <c r="H1320" s="29"/>
      <c r="M1320" s="27"/>
    </row>
    <row r="1321" spans="2:13" x14ac:dyDescent="0.2">
      <c r="B1321" s="85"/>
      <c r="C1321" s="85"/>
      <c r="H1321" s="29"/>
      <c r="M1321" s="27"/>
    </row>
    <row r="1322" spans="2:13" x14ac:dyDescent="0.2">
      <c r="B1322" s="85"/>
      <c r="C1322" s="85"/>
      <c r="H1322" s="29"/>
      <c r="M1322" s="27"/>
    </row>
    <row r="1323" spans="2:13" x14ac:dyDescent="0.2">
      <c r="B1323" s="85"/>
      <c r="C1323" s="85"/>
      <c r="H1323" s="29"/>
      <c r="M1323" s="27"/>
    </row>
    <row r="1324" spans="2:13" x14ac:dyDescent="0.2">
      <c r="B1324" s="85"/>
      <c r="C1324" s="85"/>
      <c r="H1324" s="29"/>
      <c r="M1324" s="27"/>
    </row>
    <row r="1325" spans="2:13" x14ac:dyDescent="0.2">
      <c r="B1325" s="85"/>
      <c r="C1325" s="85"/>
      <c r="H1325" s="29"/>
      <c r="M1325" s="27"/>
    </row>
    <row r="1326" spans="2:13" x14ac:dyDescent="0.2">
      <c r="B1326" s="85"/>
      <c r="C1326" s="85"/>
      <c r="H1326" s="29"/>
      <c r="M1326" s="27"/>
    </row>
    <row r="1327" spans="2:13" x14ac:dyDescent="0.2">
      <c r="B1327" s="85"/>
      <c r="C1327" s="85"/>
      <c r="H1327" s="29"/>
      <c r="M1327" s="27"/>
    </row>
    <row r="1328" spans="2:13" x14ac:dyDescent="0.2">
      <c r="B1328" s="85"/>
      <c r="C1328" s="85"/>
      <c r="H1328" s="29"/>
      <c r="M1328" s="27"/>
    </row>
    <row r="1329" spans="2:13" x14ac:dyDescent="0.2">
      <c r="B1329" s="85"/>
      <c r="C1329" s="85"/>
      <c r="H1329" s="29"/>
      <c r="M1329" s="27"/>
    </row>
    <row r="1330" spans="2:13" x14ac:dyDescent="0.2">
      <c r="B1330" s="85"/>
      <c r="C1330" s="85"/>
      <c r="H1330" s="29"/>
      <c r="M1330" s="27"/>
    </row>
    <row r="1331" spans="2:13" x14ac:dyDescent="0.2">
      <c r="B1331" s="85"/>
      <c r="C1331" s="85"/>
      <c r="H1331" s="29"/>
      <c r="M1331" s="27"/>
    </row>
    <row r="1332" spans="2:13" x14ac:dyDescent="0.2">
      <c r="B1332" s="85"/>
      <c r="C1332" s="85"/>
      <c r="H1332" s="29"/>
      <c r="M1332" s="27"/>
    </row>
    <row r="1333" spans="2:13" x14ac:dyDescent="0.2">
      <c r="B1333" s="85"/>
      <c r="C1333" s="85"/>
      <c r="H1333" s="29"/>
      <c r="M1333" s="27"/>
    </row>
    <row r="1334" spans="2:13" x14ac:dyDescent="0.2">
      <c r="B1334" s="85"/>
      <c r="C1334" s="85"/>
      <c r="H1334" s="29"/>
      <c r="M1334" s="27"/>
    </row>
    <row r="1335" spans="2:13" x14ac:dyDescent="0.2">
      <c r="B1335" s="85"/>
      <c r="C1335" s="85"/>
      <c r="H1335" s="29"/>
      <c r="M1335" s="27"/>
    </row>
    <row r="1336" spans="2:13" x14ac:dyDescent="0.2">
      <c r="B1336" s="85"/>
      <c r="C1336" s="85"/>
      <c r="H1336" s="29"/>
      <c r="M1336" s="27"/>
    </row>
    <row r="1337" spans="2:13" x14ac:dyDescent="0.2">
      <c r="B1337" s="85"/>
      <c r="C1337" s="85"/>
      <c r="H1337" s="29"/>
      <c r="M1337" s="27"/>
    </row>
    <row r="1338" spans="2:13" x14ac:dyDescent="0.2">
      <c r="B1338" s="85"/>
      <c r="C1338" s="85"/>
      <c r="H1338" s="29"/>
      <c r="M1338" s="27"/>
    </row>
    <row r="1339" spans="2:13" x14ac:dyDescent="0.2">
      <c r="B1339" s="85"/>
      <c r="C1339" s="85"/>
      <c r="H1339" s="29"/>
      <c r="M1339" s="27"/>
    </row>
    <row r="1340" spans="2:13" x14ac:dyDescent="0.2">
      <c r="B1340" s="85"/>
      <c r="C1340" s="85"/>
      <c r="H1340" s="29"/>
      <c r="M1340" s="27"/>
    </row>
    <row r="1341" spans="2:13" x14ac:dyDescent="0.2">
      <c r="B1341" s="85"/>
      <c r="C1341" s="85"/>
      <c r="H1341" s="29"/>
      <c r="M1341" s="27"/>
    </row>
    <row r="1342" spans="2:13" x14ac:dyDescent="0.2">
      <c r="B1342" s="85"/>
      <c r="C1342" s="85"/>
      <c r="H1342" s="29"/>
      <c r="M1342" s="27"/>
    </row>
    <row r="1343" spans="2:13" x14ac:dyDescent="0.2">
      <c r="B1343" s="85"/>
      <c r="C1343" s="85"/>
      <c r="H1343" s="29"/>
      <c r="M1343" s="27"/>
    </row>
    <row r="1344" spans="2:13" x14ac:dyDescent="0.2">
      <c r="B1344" s="85"/>
      <c r="C1344" s="85"/>
      <c r="H1344" s="29"/>
      <c r="M1344" s="27"/>
    </row>
    <row r="1345" spans="2:13" x14ac:dyDescent="0.2">
      <c r="B1345" s="85"/>
      <c r="C1345" s="85"/>
      <c r="H1345" s="29"/>
      <c r="M1345" s="27"/>
    </row>
    <row r="1346" spans="2:13" x14ac:dyDescent="0.2">
      <c r="B1346" s="85"/>
      <c r="C1346" s="85"/>
      <c r="H1346" s="29"/>
      <c r="M1346" s="27"/>
    </row>
    <row r="1347" spans="2:13" x14ac:dyDescent="0.2">
      <c r="B1347" s="85"/>
      <c r="C1347" s="85"/>
      <c r="H1347" s="29"/>
      <c r="M1347" s="27"/>
    </row>
    <row r="1348" spans="2:13" x14ac:dyDescent="0.2">
      <c r="B1348" s="85"/>
      <c r="C1348" s="85"/>
      <c r="H1348" s="29"/>
      <c r="M1348" s="27"/>
    </row>
    <row r="1349" spans="2:13" x14ac:dyDescent="0.2">
      <c r="B1349" s="85"/>
      <c r="C1349" s="85"/>
      <c r="H1349" s="29"/>
      <c r="M1349" s="27"/>
    </row>
    <row r="1350" spans="2:13" x14ac:dyDescent="0.2">
      <c r="B1350" s="85"/>
      <c r="C1350" s="85"/>
      <c r="H1350" s="29"/>
      <c r="M1350" s="27"/>
    </row>
    <row r="1351" spans="2:13" x14ac:dyDescent="0.2">
      <c r="B1351" s="85"/>
      <c r="C1351" s="85"/>
      <c r="H1351" s="29"/>
      <c r="M1351" s="27"/>
    </row>
    <row r="1352" spans="2:13" x14ac:dyDescent="0.2">
      <c r="B1352" s="85"/>
      <c r="C1352" s="85"/>
      <c r="H1352" s="29"/>
      <c r="M1352" s="27"/>
    </row>
    <row r="1353" spans="2:13" x14ac:dyDescent="0.2">
      <c r="B1353" s="85"/>
      <c r="C1353" s="85"/>
      <c r="H1353" s="29"/>
      <c r="M1353" s="27"/>
    </row>
    <row r="1354" spans="2:13" x14ac:dyDescent="0.2">
      <c r="B1354" s="85"/>
      <c r="C1354" s="85"/>
      <c r="H1354" s="29"/>
      <c r="M1354" s="27"/>
    </row>
    <row r="1355" spans="2:13" x14ac:dyDescent="0.2">
      <c r="B1355" s="85"/>
      <c r="C1355" s="85"/>
      <c r="H1355" s="29"/>
      <c r="M1355" s="27"/>
    </row>
    <row r="1356" spans="2:13" x14ac:dyDescent="0.2">
      <c r="B1356" s="85"/>
      <c r="C1356" s="85"/>
      <c r="H1356" s="29"/>
      <c r="M1356" s="27"/>
    </row>
    <row r="1357" spans="2:13" x14ac:dyDescent="0.2">
      <c r="B1357" s="85"/>
      <c r="C1357" s="85"/>
      <c r="H1357" s="29"/>
      <c r="M1357" s="27"/>
    </row>
    <row r="1358" spans="2:13" x14ac:dyDescent="0.2">
      <c r="B1358" s="85"/>
      <c r="C1358" s="85"/>
      <c r="H1358" s="29"/>
      <c r="M1358" s="27"/>
    </row>
    <row r="1359" spans="2:13" x14ac:dyDescent="0.2">
      <c r="B1359" s="85"/>
      <c r="C1359" s="85"/>
      <c r="H1359" s="29"/>
      <c r="M1359" s="27"/>
    </row>
    <row r="1360" spans="2:13" x14ac:dyDescent="0.2">
      <c r="B1360" s="85"/>
      <c r="C1360" s="85"/>
      <c r="H1360" s="29"/>
      <c r="M1360" s="27"/>
    </row>
    <row r="1361" spans="2:13" x14ac:dyDescent="0.2">
      <c r="B1361" s="85"/>
      <c r="C1361" s="85"/>
      <c r="H1361" s="29"/>
      <c r="M1361" s="27"/>
    </row>
    <row r="1362" spans="2:13" x14ac:dyDescent="0.2">
      <c r="B1362" s="85"/>
      <c r="C1362" s="85"/>
      <c r="H1362" s="29"/>
      <c r="M1362" s="27"/>
    </row>
    <row r="1363" spans="2:13" x14ac:dyDescent="0.2">
      <c r="B1363" s="85"/>
      <c r="C1363" s="85"/>
      <c r="H1363" s="29"/>
      <c r="M1363" s="27"/>
    </row>
    <row r="1364" spans="2:13" x14ac:dyDescent="0.2">
      <c r="B1364" s="85"/>
      <c r="C1364" s="85"/>
      <c r="H1364" s="29"/>
      <c r="M1364" s="27"/>
    </row>
    <row r="1365" spans="2:13" x14ac:dyDescent="0.2">
      <c r="B1365" s="85"/>
      <c r="C1365" s="85"/>
      <c r="H1365" s="29"/>
      <c r="M1365" s="27"/>
    </row>
    <row r="1366" spans="2:13" x14ac:dyDescent="0.2">
      <c r="B1366" s="85"/>
      <c r="C1366" s="85"/>
      <c r="H1366" s="29"/>
      <c r="M1366" s="27"/>
    </row>
    <row r="1367" spans="2:13" x14ac:dyDescent="0.2">
      <c r="B1367" s="85"/>
      <c r="C1367" s="85"/>
      <c r="H1367" s="29"/>
      <c r="M1367" s="27"/>
    </row>
    <row r="1368" spans="2:13" x14ac:dyDescent="0.2">
      <c r="B1368" s="85"/>
      <c r="C1368" s="85"/>
      <c r="H1368" s="29"/>
      <c r="M1368" s="27"/>
    </row>
    <row r="1369" spans="2:13" x14ac:dyDescent="0.2">
      <c r="B1369" s="85"/>
      <c r="C1369" s="85"/>
      <c r="H1369" s="29"/>
      <c r="M1369" s="27"/>
    </row>
    <row r="1370" spans="2:13" x14ac:dyDescent="0.2">
      <c r="B1370" s="85"/>
      <c r="C1370" s="85"/>
      <c r="H1370" s="29"/>
      <c r="M1370" s="27"/>
    </row>
    <row r="1371" spans="2:13" x14ac:dyDescent="0.2">
      <c r="B1371" s="85"/>
      <c r="C1371" s="85"/>
      <c r="H1371" s="29"/>
      <c r="M1371" s="27"/>
    </row>
    <row r="1372" spans="2:13" x14ac:dyDescent="0.2">
      <c r="B1372" s="85"/>
      <c r="C1372" s="85"/>
      <c r="H1372" s="29"/>
      <c r="M1372" s="27"/>
    </row>
    <row r="1373" spans="2:13" x14ac:dyDescent="0.2">
      <c r="B1373" s="85"/>
      <c r="C1373" s="85"/>
      <c r="H1373" s="29"/>
      <c r="M1373" s="27"/>
    </row>
    <row r="1374" spans="2:13" x14ac:dyDescent="0.2">
      <c r="B1374" s="85"/>
      <c r="C1374" s="85"/>
      <c r="H1374" s="29"/>
      <c r="M1374" s="27"/>
    </row>
    <row r="1375" spans="2:13" x14ac:dyDescent="0.2">
      <c r="B1375" s="85"/>
      <c r="C1375" s="85"/>
      <c r="H1375" s="29"/>
      <c r="M1375" s="27"/>
    </row>
    <row r="1376" spans="2:13" x14ac:dyDescent="0.2">
      <c r="B1376" s="85"/>
      <c r="C1376" s="85"/>
      <c r="H1376" s="29"/>
      <c r="M1376" s="27"/>
    </row>
    <row r="1377" spans="2:13" x14ac:dyDescent="0.2">
      <c r="B1377" s="85"/>
      <c r="C1377" s="85"/>
      <c r="H1377" s="29"/>
      <c r="M1377" s="27"/>
    </row>
    <row r="1378" spans="2:13" x14ac:dyDescent="0.2">
      <c r="B1378" s="85"/>
      <c r="C1378" s="85"/>
      <c r="H1378" s="29"/>
      <c r="M1378" s="27"/>
    </row>
    <row r="1379" spans="2:13" x14ac:dyDescent="0.2">
      <c r="B1379" s="85"/>
      <c r="C1379" s="85"/>
      <c r="H1379" s="29"/>
      <c r="M1379" s="27"/>
    </row>
    <row r="1380" spans="2:13" x14ac:dyDescent="0.2">
      <c r="B1380" s="85"/>
      <c r="C1380" s="85"/>
      <c r="H1380" s="29"/>
      <c r="M1380" s="27"/>
    </row>
    <row r="1381" spans="2:13" x14ac:dyDescent="0.2">
      <c r="B1381" s="85"/>
      <c r="C1381" s="85"/>
      <c r="H1381" s="29"/>
      <c r="M1381" s="27"/>
    </row>
    <row r="1382" spans="2:13" x14ac:dyDescent="0.2">
      <c r="B1382" s="85"/>
      <c r="C1382" s="85"/>
      <c r="H1382" s="29"/>
      <c r="M1382" s="27"/>
    </row>
    <row r="1383" spans="2:13" x14ac:dyDescent="0.2">
      <c r="B1383" s="85"/>
      <c r="C1383" s="85"/>
      <c r="H1383" s="29"/>
      <c r="M1383" s="27"/>
    </row>
    <row r="1384" spans="2:13" x14ac:dyDescent="0.2">
      <c r="B1384" s="85"/>
      <c r="C1384" s="85"/>
      <c r="H1384" s="29"/>
      <c r="M1384" s="27"/>
    </row>
    <row r="1385" spans="2:13" x14ac:dyDescent="0.2">
      <c r="B1385" s="85"/>
      <c r="C1385" s="85"/>
      <c r="H1385" s="29"/>
      <c r="M1385" s="27"/>
    </row>
    <row r="1386" spans="2:13" x14ac:dyDescent="0.2">
      <c r="B1386" s="85"/>
      <c r="C1386" s="85"/>
      <c r="H1386" s="29"/>
      <c r="M1386" s="27"/>
    </row>
    <row r="1387" spans="2:13" x14ac:dyDescent="0.2">
      <c r="B1387" s="85"/>
      <c r="C1387" s="85"/>
      <c r="H1387" s="29"/>
      <c r="M1387" s="27"/>
    </row>
    <row r="1388" spans="2:13" x14ac:dyDescent="0.2">
      <c r="B1388" s="85"/>
      <c r="C1388" s="85"/>
      <c r="H1388" s="29"/>
      <c r="M1388" s="27"/>
    </row>
    <row r="1389" spans="2:13" x14ac:dyDescent="0.2">
      <c r="B1389" s="85"/>
      <c r="C1389" s="85"/>
      <c r="H1389" s="29"/>
      <c r="M1389" s="27"/>
    </row>
    <row r="1390" spans="2:13" x14ac:dyDescent="0.2">
      <c r="B1390" s="85"/>
      <c r="C1390" s="85"/>
      <c r="H1390" s="29"/>
      <c r="M1390" s="27"/>
    </row>
    <row r="1391" spans="2:13" x14ac:dyDescent="0.2">
      <c r="B1391" s="85"/>
      <c r="C1391" s="85"/>
      <c r="H1391" s="29"/>
      <c r="M1391" s="27"/>
    </row>
    <row r="1392" spans="2:13" x14ac:dyDescent="0.2">
      <c r="B1392" s="85"/>
      <c r="C1392" s="85"/>
      <c r="H1392" s="29"/>
      <c r="M1392" s="27"/>
    </row>
    <row r="1393" spans="2:13" x14ac:dyDescent="0.2">
      <c r="B1393" s="85"/>
      <c r="C1393" s="85"/>
      <c r="H1393" s="29"/>
      <c r="M1393" s="27"/>
    </row>
    <row r="1394" spans="2:13" x14ac:dyDescent="0.2">
      <c r="B1394" s="85"/>
      <c r="C1394" s="85"/>
      <c r="H1394" s="29"/>
      <c r="M1394" s="27"/>
    </row>
    <row r="1395" spans="2:13" x14ac:dyDescent="0.2">
      <c r="B1395" s="85"/>
      <c r="C1395" s="85"/>
      <c r="H1395" s="29"/>
      <c r="M1395" s="27"/>
    </row>
    <row r="1396" spans="2:13" x14ac:dyDescent="0.2">
      <c r="B1396" s="85"/>
      <c r="C1396" s="85"/>
      <c r="H1396" s="29"/>
      <c r="M1396" s="27"/>
    </row>
    <row r="1397" spans="2:13" x14ac:dyDescent="0.2">
      <c r="B1397" s="85"/>
      <c r="C1397" s="85"/>
      <c r="H1397" s="29"/>
      <c r="M1397" s="27"/>
    </row>
    <row r="1398" spans="2:13" x14ac:dyDescent="0.2">
      <c r="B1398" s="85"/>
      <c r="C1398" s="85"/>
      <c r="H1398" s="29"/>
      <c r="M1398" s="27"/>
    </row>
    <row r="1399" spans="2:13" x14ac:dyDescent="0.2">
      <c r="B1399" s="85"/>
      <c r="C1399" s="85"/>
      <c r="H1399" s="29"/>
      <c r="M1399" s="27"/>
    </row>
    <row r="1400" spans="2:13" x14ac:dyDescent="0.2">
      <c r="B1400" s="85"/>
      <c r="C1400" s="85"/>
      <c r="H1400" s="29"/>
      <c r="M1400" s="27"/>
    </row>
    <row r="1401" spans="2:13" x14ac:dyDescent="0.2">
      <c r="B1401" s="85"/>
      <c r="C1401" s="85"/>
      <c r="H1401" s="29"/>
      <c r="M1401" s="27"/>
    </row>
    <row r="1402" spans="2:13" x14ac:dyDescent="0.2">
      <c r="B1402" s="85"/>
      <c r="C1402" s="85"/>
      <c r="H1402" s="29"/>
      <c r="M1402" s="27"/>
    </row>
    <row r="1403" spans="2:13" x14ac:dyDescent="0.2">
      <c r="B1403" s="85"/>
      <c r="C1403" s="85"/>
      <c r="H1403" s="29"/>
      <c r="M1403" s="27"/>
    </row>
    <row r="1404" spans="2:13" x14ac:dyDescent="0.2">
      <c r="B1404" s="85"/>
      <c r="C1404" s="85"/>
      <c r="H1404" s="29"/>
      <c r="M1404" s="27"/>
    </row>
    <row r="1405" spans="2:13" x14ac:dyDescent="0.2">
      <c r="B1405" s="85"/>
      <c r="C1405" s="85"/>
      <c r="H1405" s="29"/>
      <c r="M1405" s="27"/>
    </row>
    <row r="1406" spans="2:13" x14ac:dyDescent="0.2">
      <c r="B1406" s="85"/>
      <c r="C1406" s="85"/>
      <c r="H1406" s="29"/>
      <c r="M1406" s="27"/>
    </row>
    <row r="1407" spans="2:13" x14ac:dyDescent="0.2">
      <c r="B1407" s="85"/>
      <c r="C1407" s="85"/>
      <c r="H1407" s="29"/>
      <c r="M1407" s="27"/>
    </row>
    <row r="1408" spans="2:13" x14ac:dyDescent="0.2">
      <c r="B1408" s="85"/>
      <c r="C1408" s="85"/>
      <c r="H1408" s="29"/>
      <c r="M1408" s="27"/>
    </row>
    <row r="1409" spans="2:13" x14ac:dyDescent="0.2">
      <c r="B1409" s="85"/>
      <c r="C1409" s="85"/>
      <c r="H1409" s="29"/>
      <c r="M1409" s="27"/>
    </row>
    <row r="1410" spans="2:13" x14ac:dyDescent="0.2">
      <c r="B1410" s="85"/>
      <c r="C1410" s="85"/>
      <c r="H1410" s="29"/>
      <c r="M1410" s="27"/>
    </row>
    <row r="1411" spans="2:13" x14ac:dyDescent="0.2">
      <c r="B1411" s="85"/>
      <c r="C1411" s="85"/>
      <c r="H1411" s="29"/>
      <c r="M1411" s="27"/>
    </row>
    <row r="1412" spans="2:13" x14ac:dyDescent="0.2">
      <c r="B1412" s="85"/>
      <c r="C1412" s="85"/>
      <c r="H1412" s="29"/>
      <c r="M1412" s="27"/>
    </row>
    <row r="1413" spans="2:13" x14ac:dyDescent="0.2">
      <c r="B1413" s="85"/>
      <c r="C1413" s="85"/>
      <c r="H1413" s="29"/>
      <c r="M1413" s="27"/>
    </row>
    <row r="1414" spans="2:13" x14ac:dyDescent="0.2">
      <c r="B1414" s="85"/>
      <c r="C1414" s="85"/>
      <c r="H1414" s="29"/>
      <c r="M1414" s="27"/>
    </row>
    <row r="1415" spans="2:13" x14ac:dyDescent="0.2">
      <c r="B1415" s="85"/>
      <c r="C1415" s="85"/>
      <c r="H1415" s="29"/>
      <c r="M1415" s="27"/>
    </row>
    <row r="1416" spans="2:13" x14ac:dyDescent="0.2">
      <c r="B1416" s="85"/>
      <c r="C1416" s="85"/>
      <c r="H1416" s="29"/>
      <c r="M1416" s="27"/>
    </row>
    <row r="1417" spans="2:13" x14ac:dyDescent="0.2">
      <c r="B1417" s="85"/>
      <c r="C1417" s="85"/>
      <c r="H1417" s="29"/>
      <c r="M1417" s="27"/>
    </row>
    <row r="1418" spans="2:13" x14ac:dyDescent="0.2">
      <c r="B1418" s="85"/>
      <c r="C1418" s="85"/>
      <c r="H1418" s="29"/>
      <c r="M1418" s="27"/>
    </row>
    <row r="1419" spans="2:13" x14ac:dyDescent="0.2">
      <c r="B1419" s="85"/>
      <c r="C1419" s="85"/>
      <c r="H1419" s="29"/>
      <c r="M1419" s="27"/>
    </row>
    <row r="1420" spans="2:13" x14ac:dyDescent="0.2">
      <c r="B1420" s="85"/>
      <c r="C1420" s="85"/>
      <c r="H1420" s="29"/>
      <c r="M1420" s="27"/>
    </row>
    <row r="1421" spans="2:13" x14ac:dyDescent="0.2">
      <c r="B1421" s="85"/>
      <c r="C1421" s="85"/>
      <c r="H1421" s="29"/>
      <c r="M1421" s="27"/>
    </row>
    <row r="1422" spans="2:13" x14ac:dyDescent="0.2">
      <c r="B1422" s="85"/>
      <c r="C1422" s="85"/>
      <c r="H1422" s="29"/>
      <c r="M1422" s="27"/>
    </row>
    <row r="1423" spans="2:13" x14ac:dyDescent="0.2">
      <c r="B1423" s="85"/>
      <c r="C1423" s="85"/>
      <c r="H1423" s="29"/>
      <c r="M1423" s="27"/>
    </row>
    <row r="1424" spans="2:13" x14ac:dyDescent="0.2">
      <c r="B1424" s="85"/>
      <c r="C1424" s="85"/>
      <c r="H1424" s="29"/>
      <c r="M1424" s="27"/>
    </row>
    <row r="1425" spans="2:13" x14ac:dyDescent="0.2">
      <c r="B1425" s="85"/>
      <c r="C1425" s="85"/>
      <c r="H1425" s="29"/>
      <c r="M1425" s="27"/>
    </row>
    <row r="1426" spans="2:13" x14ac:dyDescent="0.2">
      <c r="B1426" s="85"/>
      <c r="C1426" s="85"/>
      <c r="H1426" s="29"/>
      <c r="M1426" s="27"/>
    </row>
    <row r="1427" spans="2:13" x14ac:dyDescent="0.2">
      <c r="B1427" s="85"/>
      <c r="C1427" s="85"/>
      <c r="H1427" s="29"/>
      <c r="M1427" s="27"/>
    </row>
    <row r="1428" spans="2:13" x14ac:dyDescent="0.2">
      <c r="B1428" s="85"/>
      <c r="C1428" s="85"/>
      <c r="H1428" s="29"/>
      <c r="M1428" s="27"/>
    </row>
    <row r="1429" spans="2:13" x14ac:dyDescent="0.2">
      <c r="B1429" s="85"/>
      <c r="C1429" s="85"/>
      <c r="H1429" s="29"/>
      <c r="M1429" s="27"/>
    </row>
    <row r="1430" spans="2:13" x14ac:dyDescent="0.2">
      <c r="B1430" s="85"/>
      <c r="C1430" s="85"/>
      <c r="H1430" s="29"/>
      <c r="M1430" s="27"/>
    </row>
    <row r="1431" spans="2:13" x14ac:dyDescent="0.2">
      <c r="B1431" s="85"/>
      <c r="C1431" s="85"/>
      <c r="H1431" s="29"/>
      <c r="M1431" s="27"/>
    </row>
    <row r="1432" spans="2:13" x14ac:dyDescent="0.2">
      <c r="B1432" s="85"/>
      <c r="C1432" s="85"/>
      <c r="H1432" s="29"/>
      <c r="M1432" s="27"/>
    </row>
    <row r="1433" spans="2:13" x14ac:dyDescent="0.2">
      <c r="B1433" s="85"/>
      <c r="C1433" s="85"/>
      <c r="H1433" s="29"/>
      <c r="M1433" s="27"/>
    </row>
    <row r="1434" spans="2:13" x14ac:dyDescent="0.2">
      <c r="B1434" s="85"/>
      <c r="C1434" s="85"/>
      <c r="H1434" s="29"/>
      <c r="M1434" s="27"/>
    </row>
    <row r="1435" spans="2:13" x14ac:dyDescent="0.2">
      <c r="B1435" s="85"/>
      <c r="C1435" s="85"/>
      <c r="H1435" s="29"/>
      <c r="M1435" s="27"/>
    </row>
    <row r="1436" spans="2:13" x14ac:dyDescent="0.2">
      <c r="B1436" s="85"/>
      <c r="C1436" s="85"/>
      <c r="H1436" s="29"/>
      <c r="M1436" s="27"/>
    </row>
    <row r="1437" spans="2:13" x14ac:dyDescent="0.2">
      <c r="B1437" s="85"/>
      <c r="C1437" s="85"/>
      <c r="H1437" s="29"/>
      <c r="M1437" s="27"/>
    </row>
    <row r="1438" spans="2:13" x14ac:dyDescent="0.2">
      <c r="B1438" s="85"/>
      <c r="C1438" s="85"/>
      <c r="H1438" s="29"/>
      <c r="M1438" s="27"/>
    </row>
    <row r="1439" spans="2:13" x14ac:dyDescent="0.2">
      <c r="B1439" s="85"/>
      <c r="C1439" s="85"/>
      <c r="H1439" s="29"/>
      <c r="M1439" s="27"/>
    </row>
    <row r="1440" spans="2:13" x14ac:dyDescent="0.2">
      <c r="B1440" s="85"/>
      <c r="C1440" s="85"/>
      <c r="H1440" s="29"/>
      <c r="M1440" s="27"/>
    </row>
    <row r="1441" spans="2:13" x14ac:dyDescent="0.2">
      <c r="B1441" s="85"/>
      <c r="C1441" s="85"/>
      <c r="H1441" s="29"/>
      <c r="M1441" s="27"/>
    </row>
    <row r="1442" spans="2:13" x14ac:dyDescent="0.2">
      <c r="B1442" s="85"/>
      <c r="C1442" s="85"/>
      <c r="H1442" s="29"/>
      <c r="M1442" s="27"/>
    </row>
    <row r="1443" spans="2:13" x14ac:dyDescent="0.2">
      <c r="B1443" s="85"/>
      <c r="C1443" s="85"/>
      <c r="H1443" s="29"/>
      <c r="M1443" s="27"/>
    </row>
    <row r="1444" spans="2:13" x14ac:dyDescent="0.2">
      <c r="B1444" s="85"/>
      <c r="C1444" s="85"/>
      <c r="H1444" s="29"/>
      <c r="M1444" s="27"/>
    </row>
    <row r="1445" spans="2:13" x14ac:dyDescent="0.2">
      <c r="B1445" s="85"/>
      <c r="C1445" s="85"/>
      <c r="H1445" s="29"/>
      <c r="M1445" s="27"/>
    </row>
    <row r="1446" spans="2:13" x14ac:dyDescent="0.2">
      <c r="B1446" s="85"/>
      <c r="C1446" s="85"/>
      <c r="H1446" s="29"/>
      <c r="M1446" s="27"/>
    </row>
    <row r="1447" spans="2:13" x14ac:dyDescent="0.2">
      <c r="B1447" s="85"/>
      <c r="C1447" s="85"/>
      <c r="H1447" s="29"/>
      <c r="M1447" s="27"/>
    </row>
    <row r="1448" spans="2:13" x14ac:dyDescent="0.2">
      <c r="B1448" s="85"/>
      <c r="C1448" s="85"/>
      <c r="H1448" s="29"/>
      <c r="M1448" s="27"/>
    </row>
    <row r="1449" spans="2:13" x14ac:dyDescent="0.2">
      <c r="B1449" s="85"/>
      <c r="C1449" s="85"/>
      <c r="H1449" s="29"/>
      <c r="M1449" s="27"/>
    </row>
    <row r="1450" spans="2:13" x14ac:dyDescent="0.2">
      <c r="B1450" s="85"/>
      <c r="C1450" s="85"/>
      <c r="H1450" s="29"/>
      <c r="M1450" s="27"/>
    </row>
    <row r="1451" spans="2:13" x14ac:dyDescent="0.2">
      <c r="B1451" s="85"/>
      <c r="C1451" s="85"/>
      <c r="H1451" s="29"/>
      <c r="M1451" s="27"/>
    </row>
    <row r="1452" spans="2:13" x14ac:dyDescent="0.2">
      <c r="B1452" s="85"/>
      <c r="C1452" s="85"/>
      <c r="H1452" s="29"/>
      <c r="M1452" s="27"/>
    </row>
    <row r="1453" spans="2:13" x14ac:dyDescent="0.2">
      <c r="B1453" s="85"/>
      <c r="C1453" s="85"/>
      <c r="H1453" s="29"/>
      <c r="M1453" s="27"/>
    </row>
    <row r="1454" spans="2:13" x14ac:dyDescent="0.2">
      <c r="B1454" s="85"/>
      <c r="C1454" s="85"/>
      <c r="H1454" s="29"/>
      <c r="M1454" s="27"/>
    </row>
    <row r="1455" spans="2:13" x14ac:dyDescent="0.2">
      <c r="B1455" s="85"/>
      <c r="C1455" s="85"/>
      <c r="H1455" s="29"/>
      <c r="M1455" s="27"/>
    </row>
    <row r="1456" spans="2:13" x14ac:dyDescent="0.2">
      <c r="B1456" s="85"/>
      <c r="C1456" s="85"/>
      <c r="H1456" s="29"/>
      <c r="M1456" s="27"/>
    </row>
    <row r="1457" spans="2:13" x14ac:dyDescent="0.2">
      <c r="B1457" s="85"/>
      <c r="C1457" s="85"/>
      <c r="H1457" s="29"/>
      <c r="M1457" s="27"/>
    </row>
    <row r="1458" spans="2:13" x14ac:dyDescent="0.2">
      <c r="B1458" s="85"/>
      <c r="C1458" s="85"/>
      <c r="H1458" s="29"/>
      <c r="M1458" s="27"/>
    </row>
    <row r="1459" spans="2:13" x14ac:dyDescent="0.2">
      <c r="B1459" s="85"/>
      <c r="C1459" s="85"/>
      <c r="H1459" s="29"/>
      <c r="M1459" s="27"/>
    </row>
    <row r="1460" spans="2:13" x14ac:dyDescent="0.2">
      <c r="B1460" s="85"/>
      <c r="C1460" s="85"/>
      <c r="H1460" s="29"/>
      <c r="M1460" s="27"/>
    </row>
    <row r="1461" spans="2:13" x14ac:dyDescent="0.2">
      <c r="B1461" s="85"/>
      <c r="C1461" s="85"/>
      <c r="H1461" s="29"/>
      <c r="M1461" s="27"/>
    </row>
    <row r="1462" spans="2:13" x14ac:dyDescent="0.2">
      <c r="B1462" s="85"/>
      <c r="C1462" s="85"/>
      <c r="H1462" s="29"/>
      <c r="M1462" s="27"/>
    </row>
    <row r="1463" spans="2:13" x14ac:dyDescent="0.2">
      <c r="B1463" s="85"/>
      <c r="C1463" s="85"/>
      <c r="H1463" s="29"/>
      <c r="M1463" s="27"/>
    </row>
    <row r="1464" spans="2:13" x14ac:dyDescent="0.2">
      <c r="B1464" s="85"/>
      <c r="C1464" s="85"/>
      <c r="H1464" s="29"/>
      <c r="M1464" s="27"/>
    </row>
    <row r="1465" spans="2:13" x14ac:dyDescent="0.2">
      <c r="B1465" s="85"/>
      <c r="C1465" s="85"/>
      <c r="H1465" s="29"/>
      <c r="M1465" s="27"/>
    </row>
    <row r="1466" spans="2:13" x14ac:dyDescent="0.2">
      <c r="B1466" s="85"/>
      <c r="C1466" s="85"/>
      <c r="H1466" s="29"/>
      <c r="M1466" s="27"/>
    </row>
    <row r="1467" spans="2:13" x14ac:dyDescent="0.2">
      <c r="B1467" s="85"/>
      <c r="C1467" s="85"/>
      <c r="H1467" s="29"/>
      <c r="M1467" s="27"/>
    </row>
    <row r="1468" spans="2:13" x14ac:dyDescent="0.2">
      <c r="B1468" s="85"/>
      <c r="C1468" s="85"/>
      <c r="H1468" s="29"/>
      <c r="M1468" s="27"/>
    </row>
    <row r="1469" spans="2:13" x14ac:dyDescent="0.2">
      <c r="B1469" s="85"/>
      <c r="C1469" s="85"/>
      <c r="H1469" s="29"/>
      <c r="M1469" s="27"/>
    </row>
    <row r="1470" spans="2:13" x14ac:dyDescent="0.2">
      <c r="B1470" s="85"/>
      <c r="C1470" s="85"/>
      <c r="H1470" s="29"/>
      <c r="M1470" s="27"/>
    </row>
    <row r="1471" spans="2:13" x14ac:dyDescent="0.2">
      <c r="B1471" s="85"/>
      <c r="C1471" s="85"/>
      <c r="H1471" s="29"/>
      <c r="M1471" s="27"/>
    </row>
    <row r="1472" spans="2:13" x14ac:dyDescent="0.2">
      <c r="B1472" s="85"/>
      <c r="C1472" s="85"/>
      <c r="H1472" s="29"/>
      <c r="M1472" s="27"/>
    </row>
    <row r="1473" spans="2:13" x14ac:dyDescent="0.2">
      <c r="B1473" s="85"/>
      <c r="C1473" s="85"/>
      <c r="H1473" s="29"/>
      <c r="M1473" s="27"/>
    </row>
    <row r="1474" spans="2:13" x14ac:dyDescent="0.2">
      <c r="B1474" s="85"/>
      <c r="C1474" s="85"/>
      <c r="H1474" s="29"/>
      <c r="M1474" s="27"/>
    </row>
    <row r="1475" spans="2:13" x14ac:dyDescent="0.2">
      <c r="B1475" s="85"/>
      <c r="C1475" s="85"/>
      <c r="H1475" s="29"/>
      <c r="M1475" s="27"/>
    </row>
    <row r="1476" spans="2:13" x14ac:dyDescent="0.2">
      <c r="B1476" s="85"/>
      <c r="C1476" s="85"/>
      <c r="H1476" s="29"/>
      <c r="M1476" s="27"/>
    </row>
    <row r="1477" spans="2:13" x14ac:dyDescent="0.2">
      <c r="B1477" s="85"/>
      <c r="C1477" s="85"/>
      <c r="H1477" s="29"/>
      <c r="M1477" s="27"/>
    </row>
    <row r="1478" spans="2:13" x14ac:dyDescent="0.2">
      <c r="B1478" s="85"/>
      <c r="C1478" s="85"/>
      <c r="H1478" s="29"/>
      <c r="M1478" s="27"/>
    </row>
    <row r="1479" spans="2:13" x14ac:dyDescent="0.2">
      <c r="B1479" s="85"/>
      <c r="C1479" s="85"/>
      <c r="H1479" s="29"/>
      <c r="M1479" s="27"/>
    </row>
    <row r="1480" spans="2:13" x14ac:dyDescent="0.2">
      <c r="B1480" s="85"/>
      <c r="C1480" s="85"/>
      <c r="H1480" s="29"/>
      <c r="M1480" s="27"/>
    </row>
    <row r="1481" spans="2:13" x14ac:dyDescent="0.2">
      <c r="B1481" s="85"/>
      <c r="C1481" s="85"/>
      <c r="H1481" s="29"/>
      <c r="M1481" s="27"/>
    </row>
    <row r="1482" spans="2:13" x14ac:dyDescent="0.2">
      <c r="B1482" s="85"/>
      <c r="C1482" s="85"/>
      <c r="H1482" s="29"/>
      <c r="M1482" s="27"/>
    </row>
    <row r="1483" spans="2:13" x14ac:dyDescent="0.2">
      <c r="B1483" s="85"/>
      <c r="C1483" s="85"/>
      <c r="H1483" s="29"/>
      <c r="M1483" s="27"/>
    </row>
    <row r="1484" spans="2:13" x14ac:dyDescent="0.2">
      <c r="B1484" s="85"/>
      <c r="C1484" s="85"/>
      <c r="H1484" s="29"/>
      <c r="M1484" s="27"/>
    </row>
    <row r="1485" spans="2:13" x14ac:dyDescent="0.2">
      <c r="B1485" s="85"/>
      <c r="C1485" s="85"/>
      <c r="H1485" s="29"/>
      <c r="M1485" s="27"/>
    </row>
    <row r="1486" spans="2:13" x14ac:dyDescent="0.2">
      <c r="B1486" s="85"/>
      <c r="C1486" s="85"/>
      <c r="H1486" s="29"/>
      <c r="M1486" s="27"/>
    </row>
    <row r="1487" spans="2:13" x14ac:dyDescent="0.2">
      <c r="B1487" s="85"/>
      <c r="C1487" s="85"/>
      <c r="H1487" s="29"/>
      <c r="M1487" s="27"/>
    </row>
    <row r="1488" spans="2:13" x14ac:dyDescent="0.2">
      <c r="B1488" s="85"/>
      <c r="C1488" s="85"/>
      <c r="H1488" s="29"/>
      <c r="M1488" s="27"/>
    </row>
    <row r="1489" spans="2:13" x14ac:dyDescent="0.2">
      <c r="B1489" s="85"/>
      <c r="C1489" s="85"/>
      <c r="H1489" s="29"/>
      <c r="M1489" s="27"/>
    </row>
    <row r="1490" spans="2:13" x14ac:dyDescent="0.2">
      <c r="B1490" s="85"/>
      <c r="C1490" s="85"/>
      <c r="H1490" s="29"/>
      <c r="M1490" s="27"/>
    </row>
    <row r="1491" spans="2:13" x14ac:dyDescent="0.2">
      <c r="B1491" s="85"/>
      <c r="C1491" s="85"/>
      <c r="H1491" s="29"/>
      <c r="M1491" s="27"/>
    </row>
    <row r="1492" spans="2:13" x14ac:dyDescent="0.2">
      <c r="B1492" s="85"/>
      <c r="C1492" s="85"/>
      <c r="H1492" s="29"/>
      <c r="M1492" s="27"/>
    </row>
    <row r="1493" spans="2:13" x14ac:dyDescent="0.2">
      <c r="B1493" s="85"/>
      <c r="C1493" s="85"/>
      <c r="H1493" s="29"/>
      <c r="M1493" s="27"/>
    </row>
    <row r="1494" spans="2:13" x14ac:dyDescent="0.2">
      <c r="B1494" s="85"/>
      <c r="C1494" s="85"/>
      <c r="H1494" s="29"/>
      <c r="M1494" s="27"/>
    </row>
    <row r="1495" spans="2:13" x14ac:dyDescent="0.2">
      <c r="B1495" s="85"/>
      <c r="C1495" s="85"/>
      <c r="H1495" s="29"/>
      <c r="M1495" s="27"/>
    </row>
    <row r="1496" spans="2:13" x14ac:dyDescent="0.2">
      <c r="B1496" s="85"/>
      <c r="C1496" s="85"/>
      <c r="H1496" s="29"/>
      <c r="M1496" s="27"/>
    </row>
    <row r="1497" spans="2:13" x14ac:dyDescent="0.2">
      <c r="B1497" s="85"/>
      <c r="C1497" s="85"/>
      <c r="H1497" s="29"/>
      <c r="M1497" s="27"/>
    </row>
    <row r="1498" spans="2:13" x14ac:dyDescent="0.2">
      <c r="B1498" s="85"/>
      <c r="C1498" s="85"/>
      <c r="H1498" s="29"/>
      <c r="M1498" s="27"/>
    </row>
    <row r="1499" spans="2:13" x14ac:dyDescent="0.2">
      <c r="B1499" s="85"/>
      <c r="C1499" s="85"/>
      <c r="H1499" s="29"/>
      <c r="M1499" s="27"/>
    </row>
    <row r="1500" spans="2:13" x14ac:dyDescent="0.2">
      <c r="B1500" s="85"/>
      <c r="C1500" s="85"/>
      <c r="H1500" s="29"/>
      <c r="M1500" s="27"/>
    </row>
    <row r="1501" spans="2:13" x14ac:dyDescent="0.2">
      <c r="B1501" s="85"/>
      <c r="C1501" s="85"/>
      <c r="H1501" s="29"/>
      <c r="M1501" s="27"/>
    </row>
    <row r="1502" spans="2:13" x14ac:dyDescent="0.2">
      <c r="B1502" s="85"/>
      <c r="C1502" s="85"/>
      <c r="H1502" s="29"/>
      <c r="M1502" s="27"/>
    </row>
    <row r="1503" spans="2:13" x14ac:dyDescent="0.2">
      <c r="B1503" s="85"/>
      <c r="C1503" s="85"/>
      <c r="H1503" s="29"/>
      <c r="M1503" s="27"/>
    </row>
    <row r="1504" spans="2:13" x14ac:dyDescent="0.2">
      <c r="B1504" s="85"/>
      <c r="C1504" s="85"/>
      <c r="H1504" s="29"/>
      <c r="M1504" s="27"/>
    </row>
    <row r="1505" spans="2:13" x14ac:dyDescent="0.2">
      <c r="B1505" s="85"/>
      <c r="C1505" s="85"/>
      <c r="H1505" s="29"/>
      <c r="M1505" s="27"/>
    </row>
    <row r="1506" spans="2:13" x14ac:dyDescent="0.2">
      <c r="B1506" s="85"/>
      <c r="C1506" s="85"/>
      <c r="H1506" s="29"/>
      <c r="M1506" s="27"/>
    </row>
    <row r="1507" spans="2:13" x14ac:dyDescent="0.2">
      <c r="B1507" s="85"/>
      <c r="C1507" s="85"/>
      <c r="H1507" s="29"/>
      <c r="M1507" s="27"/>
    </row>
    <row r="1508" spans="2:13" x14ac:dyDescent="0.2">
      <c r="B1508" s="85"/>
      <c r="C1508" s="85"/>
      <c r="H1508" s="29"/>
      <c r="M1508" s="27"/>
    </row>
    <row r="1509" spans="2:13" x14ac:dyDescent="0.2">
      <c r="B1509" s="85"/>
      <c r="C1509" s="85"/>
      <c r="H1509" s="29"/>
      <c r="M1509" s="27"/>
    </row>
    <row r="1510" spans="2:13" x14ac:dyDescent="0.2">
      <c r="B1510" s="85"/>
      <c r="C1510" s="85"/>
      <c r="H1510" s="29"/>
      <c r="M1510" s="27"/>
    </row>
    <row r="1511" spans="2:13" x14ac:dyDescent="0.2">
      <c r="B1511" s="85"/>
      <c r="C1511" s="85"/>
      <c r="H1511" s="29"/>
      <c r="M1511" s="27"/>
    </row>
    <row r="1512" spans="2:13" x14ac:dyDescent="0.2">
      <c r="B1512" s="85"/>
      <c r="C1512" s="85"/>
      <c r="H1512" s="29"/>
      <c r="M1512" s="27"/>
    </row>
    <row r="1513" spans="2:13" x14ac:dyDescent="0.2">
      <c r="B1513" s="85"/>
      <c r="C1513" s="85"/>
      <c r="H1513" s="29"/>
      <c r="M1513" s="27"/>
    </row>
    <row r="1514" spans="2:13" x14ac:dyDescent="0.2">
      <c r="B1514" s="85"/>
      <c r="C1514" s="85"/>
      <c r="H1514" s="29"/>
      <c r="M1514" s="27"/>
    </row>
    <row r="1515" spans="2:13" x14ac:dyDescent="0.2">
      <c r="B1515" s="85"/>
      <c r="C1515" s="85"/>
      <c r="H1515" s="29"/>
      <c r="M1515" s="27"/>
    </row>
    <row r="1516" spans="2:13" x14ac:dyDescent="0.2">
      <c r="B1516" s="85"/>
      <c r="C1516" s="85"/>
      <c r="H1516" s="29"/>
      <c r="M1516" s="27"/>
    </row>
    <row r="1517" spans="2:13" x14ac:dyDescent="0.2">
      <c r="B1517" s="85"/>
      <c r="C1517" s="85"/>
      <c r="H1517" s="29"/>
      <c r="M1517" s="27"/>
    </row>
    <row r="1518" spans="2:13" x14ac:dyDescent="0.2">
      <c r="B1518" s="85"/>
      <c r="C1518" s="85"/>
      <c r="H1518" s="29"/>
      <c r="M1518" s="27"/>
    </row>
    <row r="1519" spans="2:13" x14ac:dyDescent="0.2">
      <c r="B1519" s="85"/>
      <c r="C1519" s="85"/>
      <c r="H1519" s="29"/>
      <c r="M1519" s="27"/>
    </row>
    <row r="1520" spans="2:13" x14ac:dyDescent="0.2">
      <c r="B1520" s="85"/>
      <c r="C1520" s="85"/>
      <c r="H1520" s="29"/>
      <c r="M1520" s="27"/>
    </row>
    <row r="1521" spans="2:13" x14ac:dyDescent="0.2">
      <c r="B1521" s="85"/>
      <c r="C1521" s="85"/>
      <c r="H1521" s="29"/>
      <c r="M1521" s="27"/>
    </row>
    <row r="1522" spans="2:13" x14ac:dyDescent="0.2">
      <c r="B1522" s="85"/>
      <c r="C1522" s="85"/>
      <c r="H1522" s="29"/>
      <c r="M1522" s="27"/>
    </row>
    <row r="1523" spans="2:13" x14ac:dyDescent="0.2">
      <c r="B1523" s="85"/>
      <c r="C1523" s="85"/>
      <c r="H1523" s="29"/>
      <c r="M1523" s="27"/>
    </row>
    <row r="1524" spans="2:13" x14ac:dyDescent="0.2">
      <c r="B1524" s="85"/>
      <c r="C1524" s="85"/>
      <c r="H1524" s="29"/>
      <c r="M1524" s="27"/>
    </row>
    <row r="1525" spans="2:13" x14ac:dyDescent="0.2">
      <c r="B1525" s="85"/>
      <c r="C1525" s="85"/>
      <c r="H1525" s="29"/>
      <c r="M1525" s="27"/>
    </row>
    <row r="1526" spans="2:13" x14ac:dyDescent="0.2">
      <c r="B1526" s="85"/>
      <c r="C1526" s="85"/>
      <c r="H1526" s="29"/>
      <c r="M1526" s="27"/>
    </row>
    <row r="1527" spans="2:13" x14ac:dyDescent="0.2">
      <c r="B1527" s="85"/>
      <c r="C1527" s="85"/>
      <c r="H1527" s="29"/>
      <c r="M1527" s="27"/>
    </row>
    <row r="1528" spans="2:13" x14ac:dyDescent="0.2">
      <c r="B1528" s="85"/>
      <c r="C1528" s="85"/>
      <c r="H1528" s="29"/>
      <c r="M1528" s="27"/>
    </row>
    <row r="1529" spans="2:13" x14ac:dyDescent="0.2">
      <c r="B1529" s="85"/>
      <c r="C1529" s="85"/>
      <c r="H1529" s="29"/>
      <c r="M1529" s="27"/>
    </row>
    <row r="1530" spans="2:13" x14ac:dyDescent="0.2">
      <c r="B1530" s="85"/>
      <c r="C1530" s="85"/>
      <c r="H1530" s="29"/>
      <c r="M1530" s="27"/>
    </row>
    <row r="1531" spans="2:13" x14ac:dyDescent="0.2">
      <c r="B1531" s="85"/>
      <c r="C1531" s="85"/>
      <c r="H1531" s="29"/>
      <c r="M1531" s="27"/>
    </row>
    <row r="1532" spans="2:13" x14ac:dyDescent="0.2">
      <c r="B1532" s="85"/>
      <c r="C1532" s="85"/>
      <c r="H1532" s="29"/>
      <c r="M1532" s="27"/>
    </row>
    <row r="1533" spans="2:13" x14ac:dyDescent="0.2">
      <c r="B1533" s="85"/>
      <c r="C1533" s="85"/>
      <c r="H1533" s="29"/>
      <c r="M1533" s="27"/>
    </row>
    <row r="1534" spans="2:13" x14ac:dyDescent="0.2">
      <c r="B1534" s="85"/>
      <c r="C1534" s="85"/>
      <c r="H1534" s="29"/>
      <c r="M1534" s="27"/>
    </row>
    <row r="1535" spans="2:13" x14ac:dyDescent="0.2">
      <c r="B1535" s="85"/>
      <c r="C1535" s="85"/>
      <c r="H1535" s="29"/>
      <c r="M1535" s="27"/>
    </row>
    <row r="1536" spans="2:13" x14ac:dyDescent="0.2">
      <c r="B1536" s="85"/>
      <c r="C1536" s="85"/>
      <c r="H1536" s="29"/>
      <c r="M1536" s="27"/>
    </row>
    <row r="1537" spans="2:13" x14ac:dyDescent="0.2">
      <c r="B1537" s="85"/>
      <c r="C1537" s="85"/>
      <c r="H1537" s="29"/>
      <c r="M1537" s="27"/>
    </row>
    <row r="1538" spans="2:13" x14ac:dyDescent="0.2">
      <c r="B1538" s="85"/>
      <c r="C1538" s="85"/>
      <c r="H1538" s="29"/>
      <c r="M1538" s="27"/>
    </row>
    <row r="1539" spans="2:13" x14ac:dyDescent="0.2">
      <c r="B1539" s="85"/>
      <c r="C1539" s="85"/>
      <c r="H1539" s="29"/>
      <c r="M1539" s="27"/>
    </row>
    <row r="1540" spans="2:13" x14ac:dyDescent="0.2">
      <c r="B1540" s="85"/>
      <c r="C1540" s="85"/>
      <c r="H1540" s="29"/>
      <c r="M1540" s="27"/>
    </row>
    <row r="1541" spans="2:13" x14ac:dyDescent="0.2">
      <c r="B1541" s="85"/>
      <c r="C1541" s="85"/>
      <c r="H1541" s="29"/>
      <c r="M1541" s="27"/>
    </row>
    <row r="1542" spans="2:13" x14ac:dyDescent="0.2">
      <c r="B1542" s="85"/>
      <c r="C1542" s="85"/>
      <c r="H1542" s="29"/>
      <c r="M1542" s="27"/>
    </row>
    <row r="1543" spans="2:13" x14ac:dyDescent="0.2">
      <c r="B1543" s="85"/>
      <c r="C1543" s="85"/>
      <c r="H1543" s="29"/>
      <c r="M1543" s="27"/>
    </row>
    <row r="1544" spans="2:13" x14ac:dyDescent="0.2">
      <c r="B1544" s="85"/>
      <c r="C1544" s="85"/>
      <c r="H1544" s="29"/>
      <c r="M1544" s="27"/>
    </row>
    <row r="1545" spans="2:13" x14ac:dyDescent="0.2">
      <c r="B1545" s="85"/>
      <c r="C1545" s="85"/>
      <c r="H1545" s="29"/>
      <c r="M1545" s="27"/>
    </row>
    <row r="1546" spans="2:13" x14ac:dyDescent="0.2">
      <c r="B1546" s="85"/>
      <c r="C1546" s="85"/>
      <c r="H1546" s="29"/>
      <c r="M1546" s="27"/>
    </row>
    <row r="1547" spans="2:13" x14ac:dyDescent="0.2">
      <c r="B1547" s="85"/>
      <c r="C1547" s="85"/>
      <c r="H1547" s="29"/>
      <c r="M1547" s="27"/>
    </row>
    <row r="1548" spans="2:13" x14ac:dyDescent="0.2">
      <c r="B1548" s="85"/>
      <c r="C1548" s="85"/>
      <c r="H1548" s="29"/>
      <c r="M1548" s="27"/>
    </row>
    <row r="1549" spans="2:13" x14ac:dyDescent="0.2">
      <c r="B1549" s="85"/>
      <c r="C1549" s="85"/>
      <c r="H1549" s="29"/>
      <c r="M1549" s="27"/>
    </row>
    <row r="1550" spans="2:13" x14ac:dyDescent="0.2">
      <c r="B1550" s="85"/>
      <c r="C1550" s="85"/>
      <c r="H1550" s="29"/>
      <c r="M1550" s="27"/>
    </row>
    <row r="1551" spans="2:13" x14ac:dyDescent="0.2">
      <c r="B1551" s="85"/>
      <c r="C1551" s="85"/>
      <c r="H1551" s="29"/>
      <c r="M1551" s="27"/>
    </row>
    <row r="1552" spans="2:13" x14ac:dyDescent="0.2">
      <c r="B1552" s="85"/>
      <c r="C1552" s="85"/>
      <c r="H1552" s="29"/>
      <c r="M1552" s="27"/>
    </row>
    <row r="1553" spans="2:13" x14ac:dyDescent="0.2">
      <c r="B1553" s="85"/>
      <c r="C1553" s="85"/>
      <c r="H1553" s="29"/>
      <c r="M1553" s="27"/>
    </row>
    <row r="1554" spans="2:13" x14ac:dyDescent="0.2">
      <c r="B1554" s="85"/>
      <c r="C1554" s="85"/>
      <c r="H1554" s="29"/>
      <c r="M1554" s="27"/>
    </row>
    <row r="1555" spans="2:13" x14ac:dyDescent="0.2">
      <c r="B1555" s="85"/>
      <c r="C1555" s="85"/>
      <c r="H1555" s="29"/>
      <c r="M1555" s="27"/>
    </row>
    <row r="1556" spans="2:13" x14ac:dyDescent="0.2">
      <c r="B1556" s="85"/>
      <c r="C1556" s="85"/>
      <c r="H1556" s="29"/>
      <c r="M1556" s="27"/>
    </row>
    <row r="1557" spans="2:13" x14ac:dyDescent="0.2">
      <c r="B1557" s="85"/>
      <c r="C1557" s="85"/>
      <c r="H1557" s="29"/>
      <c r="M1557" s="27"/>
    </row>
    <row r="1558" spans="2:13" x14ac:dyDescent="0.2">
      <c r="B1558" s="85"/>
      <c r="C1558" s="85"/>
      <c r="H1558" s="29"/>
      <c r="M1558" s="27"/>
    </row>
    <row r="1559" spans="2:13" x14ac:dyDescent="0.2">
      <c r="B1559" s="85"/>
      <c r="C1559" s="85"/>
      <c r="H1559" s="29"/>
      <c r="M1559" s="27"/>
    </row>
    <row r="1560" spans="2:13" x14ac:dyDescent="0.2">
      <c r="B1560" s="85"/>
      <c r="C1560" s="85"/>
      <c r="H1560" s="29"/>
      <c r="M1560" s="27"/>
    </row>
    <row r="1561" spans="2:13" x14ac:dyDescent="0.2">
      <c r="B1561" s="85"/>
      <c r="C1561" s="85"/>
      <c r="H1561" s="29"/>
      <c r="M1561" s="27"/>
    </row>
    <row r="1562" spans="2:13" x14ac:dyDescent="0.2">
      <c r="B1562" s="85"/>
      <c r="C1562" s="85"/>
      <c r="H1562" s="29"/>
      <c r="M1562" s="27"/>
    </row>
    <row r="1563" spans="2:13" x14ac:dyDescent="0.2">
      <c r="B1563" s="85"/>
      <c r="C1563" s="85"/>
      <c r="H1563" s="29"/>
      <c r="M1563" s="27"/>
    </row>
    <row r="1564" spans="2:13" x14ac:dyDescent="0.2">
      <c r="B1564" s="85"/>
      <c r="C1564" s="85"/>
      <c r="H1564" s="29"/>
      <c r="M1564" s="27"/>
    </row>
    <row r="1565" spans="2:13" x14ac:dyDescent="0.2">
      <c r="B1565" s="85"/>
      <c r="C1565" s="85"/>
      <c r="H1565" s="29"/>
      <c r="M1565" s="27"/>
    </row>
    <row r="1566" spans="2:13" x14ac:dyDescent="0.2">
      <c r="B1566" s="85"/>
      <c r="C1566" s="85"/>
      <c r="H1566" s="29"/>
      <c r="M1566" s="27"/>
    </row>
    <row r="1567" spans="2:13" x14ac:dyDescent="0.2">
      <c r="B1567" s="85"/>
      <c r="C1567" s="85"/>
      <c r="H1567" s="29"/>
      <c r="M1567" s="27"/>
    </row>
    <row r="1568" spans="2:13" x14ac:dyDescent="0.2">
      <c r="B1568" s="85"/>
      <c r="C1568" s="85"/>
      <c r="H1568" s="29"/>
      <c r="M1568" s="27"/>
    </row>
    <row r="1569" spans="2:13" x14ac:dyDescent="0.2">
      <c r="B1569" s="85"/>
      <c r="C1569" s="85"/>
      <c r="H1569" s="29"/>
      <c r="M1569" s="27"/>
    </row>
    <row r="1570" spans="2:13" x14ac:dyDescent="0.2">
      <c r="B1570" s="85"/>
      <c r="C1570" s="85"/>
      <c r="H1570" s="29"/>
      <c r="M1570" s="27"/>
    </row>
    <row r="1571" spans="2:13" x14ac:dyDescent="0.2">
      <c r="B1571" s="85"/>
      <c r="C1571" s="85"/>
      <c r="H1571" s="29"/>
      <c r="M1571" s="27"/>
    </row>
    <row r="1572" spans="2:13" x14ac:dyDescent="0.2">
      <c r="B1572" s="85"/>
      <c r="C1572" s="85"/>
      <c r="H1572" s="29"/>
      <c r="M1572" s="27"/>
    </row>
    <row r="1573" spans="2:13" x14ac:dyDescent="0.2">
      <c r="B1573" s="85"/>
      <c r="C1573" s="85"/>
      <c r="H1573" s="29"/>
      <c r="M1573" s="27"/>
    </row>
    <row r="1574" spans="2:13" x14ac:dyDescent="0.2">
      <c r="B1574" s="85"/>
      <c r="C1574" s="85"/>
      <c r="H1574" s="29"/>
      <c r="M1574" s="27"/>
    </row>
    <row r="1575" spans="2:13" x14ac:dyDescent="0.2">
      <c r="B1575" s="85"/>
      <c r="C1575" s="85"/>
      <c r="H1575" s="29"/>
      <c r="M1575" s="27"/>
    </row>
    <row r="1576" spans="2:13" x14ac:dyDescent="0.2">
      <c r="B1576" s="85"/>
      <c r="C1576" s="85"/>
      <c r="H1576" s="29"/>
      <c r="M1576" s="27"/>
    </row>
    <row r="1577" spans="2:13" x14ac:dyDescent="0.2">
      <c r="B1577" s="85"/>
      <c r="C1577" s="85"/>
      <c r="H1577" s="29"/>
      <c r="M1577" s="27"/>
    </row>
    <row r="1578" spans="2:13" x14ac:dyDescent="0.2">
      <c r="B1578" s="85"/>
      <c r="C1578" s="85"/>
      <c r="H1578" s="29"/>
      <c r="M1578" s="27"/>
    </row>
    <row r="1579" spans="2:13" x14ac:dyDescent="0.2">
      <c r="B1579" s="85"/>
      <c r="C1579" s="85"/>
      <c r="H1579" s="29"/>
      <c r="M1579" s="27"/>
    </row>
    <row r="1580" spans="2:13" x14ac:dyDescent="0.2">
      <c r="B1580" s="85"/>
      <c r="C1580" s="85"/>
      <c r="H1580" s="29"/>
      <c r="M1580" s="27"/>
    </row>
    <row r="1581" spans="2:13" x14ac:dyDescent="0.2">
      <c r="B1581" s="85"/>
      <c r="C1581" s="85"/>
      <c r="H1581" s="29"/>
      <c r="M1581" s="27"/>
    </row>
    <row r="1582" spans="2:13" x14ac:dyDescent="0.2">
      <c r="B1582" s="85"/>
      <c r="C1582" s="85"/>
      <c r="H1582" s="29"/>
      <c r="M1582" s="27"/>
    </row>
    <row r="1583" spans="2:13" x14ac:dyDescent="0.2">
      <c r="B1583" s="85"/>
      <c r="C1583" s="85"/>
      <c r="H1583" s="29"/>
      <c r="M1583" s="27"/>
    </row>
    <row r="1584" spans="2:13" x14ac:dyDescent="0.2">
      <c r="B1584" s="85"/>
      <c r="C1584" s="85"/>
      <c r="H1584" s="29"/>
      <c r="M1584" s="27"/>
    </row>
    <row r="1585" spans="2:13" x14ac:dyDescent="0.2">
      <c r="B1585" s="85"/>
      <c r="C1585" s="85"/>
      <c r="H1585" s="29"/>
      <c r="M1585" s="27"/>
    </row>
    <row r="1586" spans="2:13" x14ac:dyDescent="0.2">
      <c r="B1586" s="85"/>
      <c r="C1586" s="85"/>
      <c r="H1586" s="29"/>
      <c r="M1586" s="27"/>
    </row>
    <row r="1587" spans="2:13" x14ac:dyDescent="0.2">
      <c r="B1587" s="85"/>
      <c r="C1587" s="85"/>
      <c r="H1587" s="29"/>
      <c r="M1587" s="27"/>
    </row>
    <row r="1588" spans="2:13" x14ac:dyDescent="0.2">
      <c r="B1588" s="85"/>
      <c r="C1588" s="85"/>
      <c r="H1588" s="29"/>
      <c r="M1588" s="27"/>
    </row>
    <row r="1589" spans="2:13" x14ac:dyDescent="0.2">
      <c r="B1589" s="85"/>
      <c r="C1589" s="85"/>
      <c r="H1589" s="29"/>
      <c r="M1589" s="27"/>
    </row>
    <row r="1590" spans="2:13" x14ac:dyDescent="0.2">
      <c r="B1590" s="85"/>
      <c r="C1590" s="85"/>
      <c r="H1590" s="29"/>
      <c r="M1590" s="27"/>
    </row>
    <row r="1591" spans="2:13" x14ac:dyDescent="0.2">
      <c r="B1591" s="85"/>
      <c r="C1591" s="85"/>
      <c r="H1591" s="29"/>
      <c r="M1591" s="27"/>
    </row>
    <row r="1592" spans="2:13" x14ac:dyDescent="0.2">
      <c r="B1592" s="85"/>
      <c r="C1592" s="85"/>
      <c r="H1592" s="29"/>
      <c r="M1592" s="27"/>
    </row>
    <row r="1593" spans="2:13" x14ac:dyDescent="0.2">
      <c r="B1593" s="85"/>
      <c r="C1593" s="85"/>
      <c r="H1593" s="29"/>
      <c r="M1593" s="27"/>
    </row>
    <row r="1594" spans="2:13" x14ac:dyDescent="0.2">
      <c r="B1594" s="85"/>
      <c r="C1594" s="85"/>
      <c r="H1594" s="29"/>
      <c r="M1594" s="27"/>
    </row>
    <row r="1595" spans="2:13" x14ac:dyDescent="0.2">
      <c r="B1595" s="85"/>
      <c r="C1595" s="85"/>
      <c r="H1595" s="29"/>
      <c r="M1595" s="27"/>
    </row>
    <row r="1596" spans="2:13" x14ac:dyDescent="0.2">
      <c r="B1596" s="85"/>
      <c r="C1596" s="85"/>
      <c r="H1596" s="29"/>
      <c r="M1596" s="27"/>
    </row>
    <row r="1597" spans="2:13" x14ac:dyDescent="0.2">
      <c r="B1597" s="85"/>
      <c r="C1597" s="85"/>
      <c r="H1597" s="29"/>
      <c r="M1597" s="27"/>
    </row>
    <row r="1598" spans="2:13" x14ac:dyDescent="0.2">
      <c r="B1598" s="85"/>
      <c r="C1598" s="85"/>
      <c r="H1598" s="29"/>
      <c r="M1598" s="27"/>
    </row>
    <row r="1599" spans="2:13" x14ac:dyDescent="0.2">
      <c r="B1599" s="85"/>
      <c r="C1599" s="85"/>
      <c r="H1599" s="29"/>
      <c r="M1599" s="27"/>
    </row>
    <row r="1600" spans="2:13" x14ac:dyDescent="0.2">
      <c r="B1600" s="85"/>
      <c r="C1600" s="85"/>
      <c r="H1600" s="29"/>
      <c r="M1600" s="27"/>
    </row>
    <row r="1601" spans="2:13" x14ac:dyDescent="0.2">
      <c r="B1601" s="85"/>
      <c r="C1601" s="85"/>
      <c r="H1601" s="29"/>
      <c r="M1601" s="27"/>
    </row>
    <row r="1602" spans="2:13" x14ac:dyDescent="0.2">
      <c r="B1602" s="85"/>
      <c r="C1602" s="85"/>
      <c r="H1602" s="29"/>
      <c r="M1602" s="27"/>
    </row>
    <row r="1603" spans="2:13" x14ac:dyDescent="0.2">
      <c r="B1603" s="85"/>
      <c r="C1603" s="85"/>
      <c r="H1603" s="29"/>
      <c r="M1603" s="27"/>
    </row>
    <row r="1604" spans="2:13" x14ac:dyDescent="0.2">
      <c r="B1604" s="85"/>
      <c r="C1604" s="85"/>
      <c r="H1604" s="29"/>
      <c r="M1604" s="27"/>
    </row>
    <row r="1605" spans="2:13" x14ac:dyDescent="0.2">
      <c r="B1605" s="85"/>
      <c r="C1605" s="85"/>
      <c r="H1605" s="29"/>
      <c r="M1605" s="27"/>
    </row>
    <row r="1606" spans="2:13" x14ac:dyDescent="0.2">
      <c r="B1606" s="85"/>
      <c r="C1606" s="85"/>
      <c r="H1606" s="29"/>
      <c r="M1606" s="27"/>
    </row>
    <row r="1607" spans="2:13" x14ac:dyDescent="0.2">
      <c r="B1607" s="85"/>
      <c r="C1607" s="85"/>
      <c r="H1607" s="29"/>
      <c r="M1607" s="27"/>
    </row>
    <row r="1608" spans="2:13" x14ac:dyDescent="0.2">
      <c r="B1608" s="85"/>
      <c r="C1608" s="85"/>
      <c r="H1608" s="29"/>
      <c r="M1608" s="27"/>
    </row>
    <row r="1609" spans="2:13" x14ac:dyDescent="0.2">
      <c r="B1609" s="85"/>
      <c r="C1609" s="85"/>
      <c r="H1609" s="29"/>
      <c r="M1609" s="27"/>
    </row>
    <row r="1610" spans="2:13" x14ac:dyDescent="0.2">
      <c r="B1610" s="85"/>
      <c r="C1610" s="85"/>
      <c r="H1610" s="29"/>
      <c r="M1610" s="27"/>
    </row>
    <row r="1611" spans="2:13" x14ac:dyDescent="0.2">
      <c r="B1611" s="85"/>
      <c r="C1611" s="85"/>
      <c r="H1611" s="29"/>
      <c r="M1611" s="27"/>
    </row>
    <row r="1612" spans="2:13" x14ac:dyDescent="0.2">
      <c r="B1612" s="85"/>
      <c r="C1612" s="85"/>
      <c r="H1612" s="29"/>
      <c r="M1612" s="27"/>
    </row>
    <row r="1613" spans="2:13" x14ac:dyDescent="0.2">
      <c r="B1613" s="85"/>
      <c r="C1613" s="85"/>
      <c r="H1613" s="29"/>
      <c r="M1613" s="27"/>
    </row>
    <row r="1614" spans="2:13" x14ac:dyDescent="0.2">
      <c r="B1614" s="85"/>
      <c r="C1614" s="85"/>
      <c r="H1614" s="29"/>
      <c r="M1614" s="27"/>
    </row>
    <row r="1615" spans="2:13" x14ac:dyDescent="0.2">
      <c r="B1615" s="85"/>
      <c r="C1615" s="85"/>
      <c r="H1615" s="29"/>
      <c r="M1615" s="27"/>
    </row>
    <row r="1616" spans="2:13" x14ac:dyDescent="0.2">
      <c r="B1616" s="85"/>
      <c r="C1616" s="85"/>
      <c r="H1616" s="29"/>
      <c r="M1616" s="27"/>
    </row>
    <row r="1617" spans="2:13" x14ac:dyDescent="0.2">
      <c r="B1617" s="85"/>
      <c r="C1617" s="85"/>
      <c r="H1617" s="29"/>
      <c r="M1617" s="27"/>
    </row>
    <row r="1618" spans="2:13" x14ac:dyDescent="0.2">
      <c r="B1618" s="85"/>
      <c r="C1618" s="85"/>
      <c r="H1618" s="29"/>
      <c r="M1618" s="27"/>
    </row>
    <row r="1619" spans="2:13" x14ac:dyDescent="0.2">
      <c r="B1619" s="85"/>
      <c r="C1619" s="85"/>
      <c r="H1619" s="29"/>
      <c r="M1619" s="27"/>
    </row>
    <row r="1620" spans="2:13" x14ac:dyDescent="0.2">
      <c r="B1620" s="85"/>
      <c r="C1620" s="85"/>
      <c r="H1620" s="29"/>
      <c r="M1620" s="27"/>
    </row>
    <row r="1621" spans="2:13" x14ac:dyDescent="0.2">
      <c r="B1621" s="85"/>
      <c r="C1621" s="85"/>
      <c r="H1621" s="29"/>
      <c r="M1621" s="27"/>
    </row>
    <row r="1622" spans="2:13" x14ac:dyDescent="0.2">
      <c r="B1622" s="85"/>
      <c r="C1622" s="85"/>
      <c r="H1622" s="29"/>
      <c r="M1622" s="27"/>
    </row>
    <row r="1623" spans="2:13" x14ac:dyDescent="0.2">
      <c r="B1623" s="85"/>
      <c r="C1623" s="85"/>
      <c r="H1623" s="29"/>
      <c r="M1623" s="27"/>
    </row>
    <row r="1624" spans="2:13" x14ac:dyDescent="0.2">
      <c r="B1624" s="85"/>
      <c r="C1624" s="85"/>
      <c r="H1624" s="29"/>
      <c r="M1624" s="27"/>
    </row>
    <row r="1625" spans="2:13" x14ac:dyDescent="0.2">
      <c r="B1625" s="85"/>
      <c r="C1625" s="85"/>
      <c r="H1625" s="29"/>
      <c r="M1625" s="27"/>
    </row>
    <row r="1626" spans="2:13" x14ac:dyDescent="0.2">
      <c r="B1626" s="85"/>
      <c r="C1626" s="85"/>
      <c r="H1626" s="29"/>
      <c r="M1626" s="27"/>
    </row>
    <row r="1627" spans="2:13" x14ac:dyDescent="0.2">
      <c r="B1627" s="85"/>
      <c r="C1627" s="85"/>
      <c r="H1627" s="29"/>
      <c r="M1627" s="27"/>
    </row>
    <row r="1628" spans="2:13" x14ac:dyDescent="0.2">
      <c r="B1628" s="85"/>
      <c r="C1628" s="85"/>
      <c r="H1628" s="29"/>
      <c r="M1628" s="27"/>
    </row>
    <row r="1629" spans="2:13" x14ac:dyDescent="0.2">
      <c r="B1629" s="85"/>
      <c r="C1629" s="85"/>
      <c r="H1629" s="29"/>
      <c r="M1629" s="27"/>
    </row>
    <row r="1630" spans="2:13" x14ac:dyDescent="0.2">
      <c r="B1630" s="85"/>
      <c r="C1630" s="85"/>
      <c r="H1630" s="29"/>
      <c r="M1630" s="27"/>
    </row>
    <row r="1631" spans="2:13" x14ac:dyDescent="0.2">
      <c r="B1631" s="85"/>
      <c r="C1631" s="85"/>
      <c r="H1631" s="29"/>
      <c r="M1631" s="27"/>
    </row>
    <row r="1632" spans="2:13" x14ac:dyDescent="0.2">
      <c r="B1632" s="85"/>
      <c r="C1632" s="85"/>
      <c r="H1632" s="29"/>
      <c r="M1632" s="27"/>
    </row>
    <row r="1633" spans="2:13" x14ac:dyDescent="0.2">
      <c r="B1633" s="85"/>
      <c r="C1633" s="85"/>
      <c r="H1633" s="29"/>
      <c r="M1633" s="27"/>
    </row>
    <row r="1634" spans="2:13" x14ac:dyDescent="0.2">
      <c r="B1634" s="85"/>
      <c r="C1634" s="85"/>
      <c r="H1634" s="29"/>
      <c r="M1634" s="27"/>
    </row>
    <row r="1635" spans="2:13" x14ac:dyDescent="0.2">
      <c r="B1635" s="85"/>
      <c r="C1635" s="85"/>
      <c r="H1635" s="29"/>
      <c r="M1635" s="27"/>
    </row>
  </sheetData>
  <phoneticPr fontId="25" type="noConversion"/>
  <pageMargins left="0.7" right="0.7" top="0.75" bottom="0.75" header="0.3" footer="0.3"/>
  <pageSetup scale="30" orientation="portrait" horizontalDpi="90" verticalDpi="90" r:id="rId1"/>
  <rowBreaks count="2" manualBreakCount="2">
    <brk id="211" max="18" man="1"/>
    <brk id="240" max="18" man="1"/>
  </rowBreaks>
  <ignoredErrors>
    <ignoredError sqref="M39 H11:H12 H14 H16:H22" formulaRange="1"/>
    <ignoredError sqref="R49 M48:M49 H6" formula="1"/>
    <ignoredError sqref="H13 H15" formula="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3E89170088F04D8C2EC87B0289D89A" ma:contentTypeVersion="9" ma:contentTypeDescription="Create a new document." ma:contentTypeScope="" ma:versionID="8601304c16ef2bd28d9a2b9d0cbb7384">
  <xsd:schema xmlns:xsd="http://www.w3.org/2001/XMLSchema" xmlns:xs="http://www.w3.org/2001/XMLSchema" xmlns:p="http://schemas.microsoft.com/office/2006/metadata/properties" xmlns:ns2="dbace26d-6dc6-4827-9623-bd8ac054034a" xmlns:ns3="dec55eea-818e-4595-a36e-81369a3ec7de" targetNamespace="http://schemas.microsoft.com/office/2006/metadata/properties" ma:root="true" ma:fieldsID="b2426adf3bc8e769764aaef0f32268ae" ns2:_="" ns3:_="">
    <xsd:import namespace="dbace26d-6dc6-4827-9623-bd8ac054034a"/>
    <xsd:import namespace="dec55eea-818e-4595-a36e-81369a3ec7d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ace26d-6dc6-4827-9623-bd8ac05403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c55eea-818e-4595-a36e-81369a3ec7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821967-C6C5-4E9A-AE2F-E6EC8F9D6F5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F9F2A8-338C-4E38-BCB7-3A4031021FBD}">
  <ds:schemaRefs>
    <ds:schemaRef ds:uri="http://schemas.microsoft.com/sharepoint/v3/contenttype/forms"/>
  </ds:schemaRefs>
</ds:datastoreItem>
</file>

<file path=customXml/itemProps3.xml><?xml version="1.0" encoding="utf-8"?>
<ds:datastoreItem xmlns:ds="http://schemas.openxmlformats.org/officeDocument/2006/customXml" ds:itemID="{E0EDD0B8-29B8-4BEC-BAAE-071E6AA94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ace26d-6dc6-4827-9623-bd8ac054034a"/>
    <ds:schemaRef ds:uri="dec55eea-818e-4595-a36e-81369a3ec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Trending Schedule Q1'22</vt:lpstr>
      <vt:lpstr>'Trending Schedule Q1''22'!Print_Area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James</dc:creator>
  <cp:keywords/>
  <dc:description/>
  <cp:lastModifiedBy>Microsoft Office User</cp:lastModifiedBy>
  <cp:revision/>
  <dcterms:created xsi:type="dcterms:W3CDTF">2017-09-11T20:21:58Z</dcterms:created>
  <dcterms:modified xsi:type="dcterms:W3CDTF">2022-06-02T22:35:58Z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0x010100DB3E89170088F04D8C2EC87B0289D89A</vt:lpwstr>
  </property>
</Properties>
</file>